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Apr" state="visible" r:id="rId5"/>
    <sheet sheetId="3" name="May" state="visible" r:id="rId6"/>
    <sheet sheetId="4" name="Jun" state="visible" r:id="rId7"/>
    <sheet sheetId="5" name="Jul" state="visible" r:id="rId8"/>
    <sheet sheetId="6" name="Aug" state="visible" r:id="rId9"/>
    <sheet sheetId="7" name="Sep" state="visible" r:id="rId10"/>
    <sheet sheetId="8" name="Oct" state="visible" r:id="rId11"/>
    <sheet sheetId="9" name="Nov" state="visible" r:id="rId12"/>
    <sheet sheetId="10" name="Dec" state="visible" r:id="rId13"/>
    <sheet sheetId="11" name="Jan" state="visible" r:id="rId14"/>
    <sheet sheetId="12" name="Feb" state="visible" r:id="rId15"/>
    <sheet sheetId="13" name="Mar" state="visible" r:id="rId16"/>
    <sheet sheetId="14" name="Year" state="visible" r:id="rId17"/>
  </sheets>
  <definedNames>
    <definedName name="_xlnm.Print_Titles" localSheetId="0">'Setup'!$18:$18</definedName>
    <definedName name="_xlnm.Print_Area" localSheetId="1">'Apr'!$A1:$AL59</definedName>
    <definedName name="_xlnm.Print_Titles" localSheetId="1">'Apr'!$4:$5</definedName>
    <definedName name="_xlnm.Print_Area" localSheetId="2">'May'!$A1:$AL59</definedName>
    <definedName name="_xlnm.Print_Titles" localSheetId="2">'May'!$4:$5</definedName>
    <definedName name="_xlnm.Print_Area" localSheetId="3">'Jun'!$A1:$AL59</definedName>
    <definedName name="_xlnm.Print_Titles" localSheetId="3">'Jun'!$4:$5</definedName>
    <definedName name="_xlnm.Print_Area" localSheetId="4">'Jul'!$A1:$AL59</definedName>
    <definedName name="_xlnm.Print_Titles" localSheetId="4">'Jul'!$4:$5</definedName>
    <definedName name="_xlnm.Print_Area" localSheetId="5">'Aug'!$A1:$AL59</definedName>
    <definedName name="_xlnm.Print_Titles" localSheetId="5">'Aug'!$4:$5</definedName>
    <definedName name="_xlnm.Print_Area" localSheetId="6">'Sep'!$A1:$AL59</definedName>
    <definedName name="_xlnm.Print_Titles" localSheetId="6">'Sep'!$4:$5</definedName>
    <definedName name="_xlnm.Print_Area" localSheetId="7">'Oct'!$A1:$AL59</definedName>
    <definedName name="_xlnm.Print_Titles" localSheetId="7">'Oct'!$4:$5</definedName>
    <definedName name="_xlnm.Print_Area" localSheetId="8">'Nov'!$A1:$AL59</definedName>
    <definedName name="_xlnm.Print_Titles" localSheetId="8">'Nov'!$4:$5</definedName>
    <definedName name="_xlnm.Print_Area" localSheetId="9">'Dec'!$A1:$AL59</definedName>
    <definedName name="_xlnm.Print_Titles" localSheetId="9">'Dec'!$4:$5</definedName>
    <definedName name="_xlnm.Print_Area" localSheetId="10">'Jan'!$A1:$AL59</definedName>
    <definedName name="_xlnm.Print_Titles" localSheetId="10">'Jan'!$4:$5</definedName>
    <definedName name="_xlnm.Print_Area" localSheetId="11">'Feb'!$A1:$AL59</definedName>
    <definedName name="_xlnm.Print_Titles" localSheetId="11">'Feb'!$4:$5</definedName>
    <definedName name="_xlnm.Print_Area" localSheetId="12">'Mar'!$A1:$AL59</definedName>
    <definedName name="_xlnm.Print_Titles" localSheetId="12">'Mar'!$4:$5</definedName>
    <definedName name="_xlnm.Print_Titles" localSheetId="13">'Year'!$4:$4</definedName>
  </definedNames>
  <calcPr calcId="171027" fullCalcOnLoad="1"/>
</workbook>
</file>

<file path=xl/sharedStrings.xml><?xml version="1.0" encoding="utf-8"?>
<sst xmlns="http://schemas.openxmlformats.org/spreadsheetml/2006/main" count="403" uniqueCount="64">
  <si>
    <t>Attendance register</t>
  </si>
  <si>
    <t>Fill in the green cells. The month sheets and the Year sheet work everything out from them.</t>
  </si>
  <si>
    <t>School</t>
  </si>
  <si>
    <t>Demo Public School</t>
  </si>
  <si>
    <t>Class</t>
  </si>
  <si>
    <t>VII</t>
  </si>
  <si>
    <t>Section</t>
  </si>
  <si>
    <t>A</t>
  </si>
  <si>
    <t>Class teacher</t>
  </si>
  <si>
    <t>Ms. R. Iyer</t>
  </si>
  <si>
    <t>Session starts in April of</t>
  </si>
  <si>
    <t>Minimum attendance</t>
  </si>
  <si>
    <t>How to mark each day</t>
  </si>
  <si>
    <t>P</t>
  </si>
  <si>
    <t>Present</t>
  </si>
  <si>
    <t>Absent</t>
  </si>
  <si>
    <t>L</t>
  </si>
  <si>
    <t>On leave. Not present, so it lowers the percentage</t>
  </si>
  <si>
    <t>H</t>
  </si>
  <si>
    <t>Holiday. Not counted</t>
  </si>
  <si>
    <t>(leave empty)</t>
  </si>
  <si>
    <t>Sunday or no school. Not counted</t>
  </si>
  <si>
    <t>Roll no.</t>
  </si>
  <si>
    <t>Student name</t>
  </si>
  <si>
    <t>Admission no.</t>
  </si>
  <si>
    <t>Aarav Sharma</t>
  </si>
  <si>
    <t>2019/0142</t>
  </si>
  <si>
    <t>Ananya Iyer</t>
  </si>
  <si>
    <t>2019/0157</t>
  </si>
  <si>
    <t>Diya Menon</t>
  </si>
  <si>
    <t>2020/0031</t>
  </si>
  <si>
    <t>Ishaan Patel</t>
  </si>
  <si>
    <t>2019/0166</t>
  </si>
  <si>
    <t>Meera Reddy</t>
  </si>
  <si>
    <t>2021/0012</t>
  </si>
  <si>
    <t>Rohan Das</t>
  </si>
  <si>
    <t>2019/0171</t>
  </si>
  <si>
    <t>Sara Khan</t>
  </si>
  <si>
    <t>2019/0180</t>
  </si>
  <si>
    <t>Vihaan Gupta</t>
  </si>
  <si>
    <t>2022/0058</t>
  </si>
  <si>
    <t>Free template from proems.in</t>
  </si>
  <si>
    <t>Minimum</t>
  </si>
  <si>
    <t>Roll</t>
  </si>
  <si>
    <t>Days</t>
  </si>
  <si>
    <t>%</t>
  </si>
  <si>
    <t>Present that day</t>
  </si>
  <si>
    <t>Absent or on leave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</si>
  <si>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</si>
  <si>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</si>
  <si>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</si>
  <si>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</si>
  <si>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</si>
  <si>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</si>
  <si>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</si>
  <si>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</si>
  <si>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</si>
  <si>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</si>
  <si>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</si>
  <si>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</si>
  <si>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Days present</t>
  </si>
  <si>
    <t>Days marked</t>
  </si>
  <si>
    <t>Year %</t>
  </si>
  <si>
    <t>Days in a row to reach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</si>
</sst>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4527A4"/>
      <sz val="18"/>
      <name val="Cambria"/>
    </font>
    <font>
      <i/>
      <color rgb="FF5C6880"/>
      <sz val="11"/>
      <name val="Calibri"/>
    </font>
    <font>
      <b/>
      <color rgb="FF0B1222"/>
      <sz val="11"/>
      <name val="Calibri"/>
    </font>
    <font>
      <color rgb="FF0B1222"/>
      <sz val="11"/>
      <name val="Calibri"/>
    </font>
    <font>
      <color rgb="FF5C6880"/>
      <sz val="11"/>
      <name val="Calibri"/>
    </font>
    <font>
      <b/>
      <color rgb="FF4527A4"/>
      <sz val="11"/>
      <name val="Calibri"/>
    </font>
    <font>
      <b/>
      <color rgb="FF0B1222"/>
      <sz val="10"/>
      <name val="Calibri"/>
    </font>
    <font>
      <color rgb="FF5C6880"/>
      <sz val="9"/>
      <name val="Calibri"/>
    </font>
    <font>
      <b/>
      <color rgb="FF4527A4"/>
      <sz val="14"/>
      <name val="Cambria"/>
    </font>
    <font>
      <color rgb="FF5C6880"/>
      <sz val="8"/>
      <name val="Calibri"/>
    </font>
    <font>
      <color rgb="FF0B1222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F8EC"/>
      </patternFill>
    </fill>
    <fill>
      <patternFill patternType="solid">
        <fgColor rgb="FFF1ECFF"/>
      </patternFill>
    </fill>
    <fill>
      <patternFill patternType="solid">
        <fgColor rgb="FFFFFAF5"/>
      </patternFill>
    </fill>
  </fills>
  <borders count="2">
    <border>
      <left/>
      <right/>
      <top/>
      <bottom/>
      <diagonal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5" fillId="0" borderId="0" xfId="0" applyFont="1"/>
    <xf numFmtId="9" fontId="4" fillId="2" borderId="1" xfId="0" applyNumberFormat="1" applyFont="1" applyFill="1" applyBorder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9" fontId="3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8" fillId="4" borderId="1" xfId="0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74"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ill>
        <patternFill patternType="solid">
          <bgColor rgb="FFFFF0DC"/>
        </patternFill>
      </fill>
    </dxf>
    <dxf>
      <fill>
        <patternFill patternType="solid">
          <bgColor rgb="FFEEF0F3"/>
        </patternFill>
      </fill>
    </dxf>
    <dxf>
      <fill>
        <patternFill patternType="solid">
          <bgColor rgb="FFEEF0F3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attendance-regis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36" customWidth="1"/>
    <col min="3" max="3" width="18" customWidth="1"/>
    <col min="4" max="4" width="3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3" x14ac:dyDescent="0.25">
      <c r="A8" s="3" t="s">
        <v>10</v>
      </c>
      <c r="B8" s="4">
        <v>2026</v>
      </c>
      <c r="C8" s="5" t="str">
        <f>"April "&amp;B8&amp;" to March "&amp;(B8+1)</f>
        <v>April 2026 to March 2027</v>
      </c>
    </row>
    <row r="9" spans="1:2" x14ac:dyDescent="0.25">
      <c r="A9" s="3" t="s">
        <v>11</v>
      </c>
      <c r="B9" s="6">
        <v>0.75</v>
      </c>
    </row>
    <row r="11" spans="1:1" x14ac:dyDescent="0.25">
      <c r="A11" s="7" t="s">
        <v>12</v>
      </c>
    </row>
    <row r="12" spans="1:2" x14ac:dyDescent="0.25">
      <c r="A12" s="8" t="s">
        <v>13</v>
      </c>
      <c r="B12" s="9" t="s">
        <v>14</v>
      </c>
    </row>
    <row r="13" spans="1:2" x14ac:dyDescent="0.25">
      <c r="A13" s="8" t="s">
        <v>7</v>
      </c>
      <c r="B13" s="9" t="s">
        <v>15</v>
      </c>
    </row>
    <row r="14" spans="1:2" x14ac:dyDescent="0.25">
      <c r="A14" s="8" t="s">
        <v>16</v>
      </c>
      <c r="B14" s="9" t="s">
        <v>17</v>
      </c>
    </row>
    <row r="15" spans="1:2" x14ac:dyDescent="0.25">
      <c r="A15" s="8" t="s">
        <v>18</v>
      </c>
      <c r="B15" s="9" t="s">
        <v>19</v>
      </c>
    </row>
    <row r="16" spans="1:2" x14ac:dyDescent="0.25">
      <c r="A16" s="8" t="s">
        <v>20</v>
      </c>
      <c r="B16" s="9" t="s">
        <v>21</v>
      </c>
    </row>
    <row r="18" spans="1:3" x14ac:dyDescent="0.25">
      <c r="A18" s="10" t="s">
        <v>22</v>
      </c>
      <c r="B18" s="11" t="s">
        <v>23</v>
      </c>
      <c r="C18" s="10" t="s">
        <v>24</v>
      </c>
    </row>
    <row r="19" spans="1:3" x14ac:dyDescent="0.25">
      <c r="A19" s="12">
        <v>1</v>
      </c>
      <c r="B19" s="4" t="s">
        <v>25</v>
      </c>
      <c r="C19" s="12" t="s">
        <v>26</v>
      </c>
    </row>
    <row r="20" spans="1:3" x14ac:dyDescent="0.25">
      <c r="A20" s="12">
        <v>2</v>
      </c>
      <c r="B20" s="4" t="s">
        <v>27</v>
      </c>
      <c r="C20" s="12" t="s">
        <v>28</v>
      </c>
    </row>
    <row r="21" spans="1:3" x14ac:dyDescent="0.25">
      <c r="A21" s="12">
        <v>3</v>
      </c>
      <c r="B21" s="4" t="s">
        <v>29</v>
      </c>
      <c r="C21" s="12" t="s">
        <v>30</v>
      </c>
    </row>
    <row r="22" spans="1:3" x14ac:dyDescent="0.25">
      <c r="A22" s="12">
        <v>4</v>
      </c>
      <c r="B22" s="4" t="s">
        <v>31</v>
      </c>
      <c r="C22" s="12" t="s">
        <v>32</v>
      </c>
    </row>
    <row r="23" spans="1:3" x14ac:dyDescent="0.25">
      <c r="A23" s="12">
        <v>5</v>
      </c>
      <c r="B23" s="4" t="s">
        <v>33</v>
      </c>
      <c r="C23" s="12" t="s">
        <v>34</v>
      </c>
    </row>
    <row r="24" spans="1:3" x14ac:dyDescent="0.25">
      <c r="A24" s="12">
        <v>6</v>
      </c>
      <c r="B24" s="4" t="s">
        <v>35</v>
      </c>
      <c r="C24" s="12" t="s">
        <v>36</v>
      </c>
    </row>
    <row r="25" spans="1:3" x14ac:dyDescent="0.25">
      <c r="A25" s="12">
        <v>7</v>
      </c>
      <c r="B25" s="4" t="s">
        <v>37</v>
      </c>
      <c r="C25" s="12" t="s">
        <v>38</v>
      </c>
    </row>
    <row r="26" spans="1:3" x14ac:dyDescent="0.25">
      <c r="A26" s="12">
        <v>8</v>
      </c>
      <c r="B26" s="4" t="s">
        <v>39</v>
      </c>
      <c r="C26" s="12" t="s">
        <v>40</v>
      </c>
    </row>
    <row r="27" spans="1:3" x14ac:dyDescent="0.25">
      <c r="A27" s="12">
        <v>9</v>
      </c>
      <c r="B27" s="4"/>
      <c r="C27" s="12"/>
    </row>
    <row r="28" spans="1:3" x14ac:dyDescent="0.25">
      <c r="A28" s="12">
        <v>10</v>
      </c>
      <c r="B28" s="4"/>
      <c r="C28" s="12"/>
    </row>
    <row r="29" spans="1:3" x14ac:dyDescent="0.25">
      <c r="A29" s="12">
        <v>11</v>
      </c>
      <c r="B29" s="4"/>
      <c r="C29" s="12"/>
    </row>
    <row r="30" spans="1:3" x14ac:dyDescent="0.25">
      <c r="A30" s="12">
        <v>12</v>
      </c>
      <c r="B30" s="4"/>
      <c r="C30" s="12"/>
    </row>
    <row r="31" spans="1:3" x14ac:dyDescent="0.25">
      <c r="A31" s="12">
        <v>13</v>
      </c>
      <c r="B31" s="4"/>
      <c r="C31" s="12"/>
    </row>
    <row r="32" spans="1:3" x14ac:dyDescent="0.25">
      <c r="A32" s="12">
        <v>14</v>
      </c>
      <c r="B32" s="4"/>
      <c r="C32" s="12"/>
    </row>
    <row r="33" spans="1:3" x14ac:dyDescent="0.25">
      <c r="A33" s="12">
        <v>15</v>
      </c>
      <c r="B33" s="4"/>
      <c r="C33" s="12"/>
    </row>
    <row r="34" spans="1:3" x14ac:dyDescent="0.25">
      <c r="A34" s="12">
        <v>16</v>
      </c>
      <c r="B34" s="4"/>
      <c r="C34" s="12"/>
    </row>
    <row r="35" spans="1:3" x14ac:dyDescent="0.25">
      <c r="A35" s="12">
        <v>17</v>
      </c>
      <c r="B35" s="4"/>
      <c r="C35" s="12"/>
    </row>
    <row r="36" spans="1:3" x14ac:dyDescent="0.25">
      <c r="A36" s="12">
        <v>18</v>
      </c>
      <c r="B36" s="4"/>
      <c r="C36" s="12"/>
    </row>
    <row r="37" spans="1:3" x14ac:dyDescent="0.25">
      <c r="A37" s="12">
        <v>19</v>
      </c>
      <c r="B37" s="4"/>
      <c r="C37" s="12"/>
    </row>
    <row r="38" spans="1:3" x14ac:dyDescent="0.25">
      <c r="A38" s="12">
        <v>20</v>
      </c>
      <c r="B38" s="4"/>
      <c r="C38" s="12"/>
    </row>
    <row r="39" spans="1:3" x14ac:dyDescent="0.25">
      <c r="A39" s="12">
        <v>21</v>
      </c>
      <c r="B39" s="4"/>
      <c r="C39" s="12"/>
    </row>
    <row r="40" spans="1:3" x14ac:dyDescent="0.25">
      <c r="A40" s="12">
        <v>22</v>
      </c>
      <c r="B40" s="4"/>
      <c r="C40" s="12"/>
    </row>
    <row r="41" spans="1:3" x14ac:dyDescent="0.25">
      <c r="A41" s="12">
        <v>23</v>
      </c>
      <c r="B41" s="4"/>
      <c r="C41" s="12"/>
    </row>
    <row r="42" spans="1:3" x14ac:dyDescent="0.25">
      <c r="A42" s="12">
        <v>24</v>
      </c>
      <c r="B42" s="4"/>
      <c r="C42" s="12"/>
    </row>
    <row r="43" spans="1:3" x14ac:dyDescent="0.25">
      <c r="A43" s="12">
        <v>25</v>
      </c>
      <c r="B43" s="4"/>
      <c r="C43" s="12"/>
    </row>
    <row r="44" spans="1:3" x14ac:dyDescent="0.25">
      <c r="A44" s="12">
        <v>26</v>
      </c>
      <c r="B44" s="4"/>
      <c r="C44" s="12"/>
    </row>
    <row r="45" spans="1:3" x14ac:dyDescent="0.25">
      <c r="A45" s="12">
        <v>27</v>
      </c>
      <c r="B45" s="4"/>
      <c r="C45" s="12"/>
    </row>
    <row r="46" spans="1:3" x14ac:dyDescent="0.25">
      <c r="A46" s="12">
        <v>28</v>
      </c>
      <c r="B46" s="4"/>
      <c r="C46" s="12"/>
    </row>
    <row r="47" spans="1:3" x14ac:dyDescent="0.25">
      <c r="A47" s="12">
        <v>29</v>
      </c>
      <c r="B47" s="4"/>
      <c r="C47" s="12"/>
    </row>
    <row r="48" spans="1:3" x14ac:dyDescent="0.25">
      <c r="A48" s="12">
        <v>30</v>
      </c>
      <c r="B48" s="4"/>
      <c r="C48" s="12"/>
    </row>
    <row r="49" spans="1:3" x14ac:dyDescent="0.25">
      <c r="A49" s="12">
        <v>31</v>
      </c>
      <c r="B49" s="4"/>
      <c r="C49" s="12"/>
    </row>
    <row r="50" spans="1:3" x14ac:dyDescent="0.25">
      <c r="A50" s="12">
        <v>32</v>
      </c>
      <c r="B50" s="4"/>
      <c r="C50" s="12"/>
    </row>
    <row r="51" spans="1:3" x14ac:dyDescent="0.25">
      <c r="A51" s="12">
        <v>33</v>
      </c>
      <c r="B51" s="4"/>
      <c r="C51" s="12"/>
    </row>
    <row r="52" spans="1:3" x14ac:dyDescent="0.25">
      <c r="A52" s="12">
        <v>34</v>
      </c>
      <c r="B52" s="4"/>
      <c r="C52" s="12"/>
    </row>
    <row r="53" spans="1:3" x14ac:dyDescent="0.25">
      <c r="A53" s="12">
        <v>35</v>
      </c>
      <c r="B53" s="4"/>
      <c r="C53" s="12"/>
    </row>
    <row r="54" spans="1:3" x14ac:dyDescent="0.25">
      <c r="A54" s="12">
        <v>36</v>
      </c>
      <c r="B54" s="4"/>
      <c r="C54" s="12"/>
    </row>
    <row r="55" spans="1:3" x14ac:dyDescent="0.25">
      <c r="A55" s="12">
        <v>37</v>
      </c>
      <c r="B55" s="4"/>
      <c r="C55" s="12"/>
    </row>
    <row r="56" spans="1:3" x14ac:dyDescent="0.25">
      <c r="A56" s="12">
        <v>38</v>
      </c>
      <c r="B56" s="4"/>
      <c r="C56" s="12"/>
    </row>
    <row r="57" spans="1:3" x14ac:dyDescent="0.25">
      <c r="A57" s="12">
        <v>39</v>
      </c>
      <c r="B57" s="4"/>
      <c r="C57" s="12"/>
    </row>
    <row r="58" spans="1:3" x14ac:dyDescent="0.25">
      <c r="A58" s="12">
        <v>40</v>
      </c>
      <c r="B58" s="4"/>
      <c r="C58" s="12"/>
    </row>
    <row r="59" spans="1:3" x14ac:dyDescent="0.25">
      <c r="A59" s="12">
        <v>41</v>
      </c>
      <c r="B59" s="4"/>
      <c r="C59" s="12"/>
    </row>
    <row r="60" spans="1:3" x14ac:dyDescent="0.25">
      <c r="A60" s="12">
        <v>42</v>
      </c>
      <c r="B60" s="4"/>
      <c r="C60" s="12"/>
    </row>
    <row r="61" spans="1:3" x14ac:dyDescent="0.25">
      <c r="A61" s="12">
        <v>43</v>
      </c>
      <c r="B61" s="4"/>
      <c r="C61" s="12"/>
    </row>
    <row r="62" spans="1:3" x14ac:dyDescent="0.25">
      <c r="A62" s="12">
        <v>44</v>
      </c>
      <c r="B62" s="4"/>
      <c r="C62" s="12"/>
    </row>
    <row r="63" spans="1:3" x14ac:dyDescent="0.25">
      <c r="A63" s="12">
        <v>45</v>
      </c>
      <c r="B63" s="4"/>
      <c r="C63" s="12"/>
    </row>
    <row r="64" spans="1:3" x14ac:dyDescent="0.25">
      <c r="A64" s="12">
        <v>46</v>
      </c>
      <c r="B64" s="4"/>
      <c r="C64" s="12"/>
    </row>
    <row r="65" spans="1:3" x14ac:dyDescent="0.25">
      <c r="A65" s="12">
        <v>47</v>
      </c>
      <c r="B65" s="4"/>
      <c r="C65" s="12"/>
    </row>
    <row r="66" spans="1:3" x14ac:dyDescent="0.25">
      <c r="A66" s="12">
        <v>48</v>
      </c>
      <c r="B66" s="4"/>
      <c r="C66" s="12"/>
    </row>
    <row r="67" spans="1:3" x14ac:dyDescent="0.25">
      <c r="A67" s="12">
        <v>49</v>
      </c>
      <c r="B67" s="4"/>
      <c r="C67" s="12"/>
    </row>
    <row r="68" spans="1:3" x14ac:dyDescent="0.25">
      <c r="A68" s="12">
        <v>50</v>
      </c>
      <c r="B68" s="4"/>
      <c r="C68" s="12"/>
    </row>
    <row r="70" spans="1:1" x14ac:dyDescent="0.25">
      <c r="A70" s="13" t="s">
        <v>41</v>
      </c>
    </row>
  </sheetData>
  <hyperlinks>
    <hyperlink ref="A70" r:id="rId1"/>
  </hyperlinks>
  <printOptions horizontalCentered="1"/>
  <pageMargins left="0.4" right="0.4" top="0.5" bottom="0.6" header="0.3" footer="0.3"/>
  <pageSetup paperSize="9" orientation="portrait" fitToWidth="1" fitToHeight="0"/>
  <headerFooter>
    <oddFooter>&amp;R&amp;8&amp;K5C6880Free template from proems.in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April "&amp;Setup!$B$8&amp;"   ·   Class teacher: "&amp;Setup!$B$7</f>
        <v>Class VII A   ·   April 2026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IF(1&lt;=DAY(DATE(Setup!$B$8,4+1,0)),1,"")</f>
        <v>1</v>
      </c>
      <c r="D4" s="10">
        <f>IF(2&lt;=DAY(DATE(Setup!$B$8,4+1,0)),2,"")</f>
        <v>2</v>
      </c>
      <c r="E4" s="10">
        <f>IF(3&lt;=DAY(DATE(Setup!$B$8,4+1,0)),3,"")</f>
        <v>3</v>
      </c>
      <c r="F4" s="10">
        <f>IF(4&lt;=DAY(DATE(Setup!$B$8,4+1,0)),4,"")</f>
        <v>4</v>
      </c>
      <c r="G4" s="10">
        <f>IF(5&lt;=DAY(DATE(Setup!$B$8,4+1,0)),5,"")</f>
        <v>5</v>
      </c>
      <c r="H4" s="10">
        <f>IF(6&lt;=DAY(DATE(Setup!$B$8,4+1,0)),6,"")</f>
        <v>6</v>
      </c>
      <c r="I4" s="10">
        <f>IF(7&lt;=DAY(DATE(Setup!$B$8,4+1,0)),7,"")</f>
        <v>7</v>
      </c>
      <c r="J4" s="10">
        <f>IF(8&lt;=DAY(DATE(Setup!$B$8,4+1,0)),8,"")</f>
        <v>8</v>
      </c>
      <c r="K4" s="10">
        <f>IF(9&lt;=DAY(DATE(Setup!$B$8,4+1,0)),9,"")</f>
        <v>9</v>
      </c>
      <c r="L4" s="10">
        <f>IF(10&lt;=DAY(DATE(Setup!$B$8,4+1,0)),10,"")</f>
        <v>10</v>
      </c>
      <c r="M4" s="10">
        <f>IF(11&lt;=DAY(DATE(Setup!$B$8,4+1,0)),11,"")</f>
        <v>11</v>
      </c>
      <c r="N4" s="10">
        <f>IF(12&lt;=DAY(DATE(Setup!$B$8,4+1,0)),12,"")</f>
        <v>12</v>
      </c>
      <c r="O4" s="10">
        <f>IF(13&lt;=DAY(DATE(Setup!$B$8,4+1,0)),13,"")</f>
        <v>13</v>
      </c>
      <c r="P4" s="10">
        <f>IF(14&lt;=DAY(DATE(Setup!$B$8,4+1,0)),14,"")</f>
        <v>14</v>
      </c>
      <c r="Q4" s="10">
        <f>IF(15&lt;=DAY(DATE(Setup!$B$8,4+1,0)),15,"")</f>
        <v>15</v>
      </c>
      <c r="R4" s="10">
        <f>IF(16&lt;=DAY(DATE(Setup!$B$8,4+1,0)),16,"")</f>
        <v>16</v>
      </c>
      <c r="S4" s="10">
        <f>IF(17&lt;=DAY(DATE(Setup!$B$8,4+1,0)),17,"")</f>
        <v>17</v>
      </c>
      <c r="T4" s="10">
        <f>IF(18&lt;=DAY(DATE(Setup!$B$8,4+1,0)),18,"")</f>
        <v>18</v>
      </c>
      <c r="U4" s="10">
        <f>IF(19&lt;=DAY(DATE(Setup!$B$8,4+1,0)),19,"")</f>
        <v>19</v>
      </c>
      <c r="V4" s="10">
        <f>IF(20&lt;=DAY(DATE(Setup!$B$8,4+1,0)),20,"")</f>
        <v>20</v>
      </c>
      <c r="W4" s="10">
        <f>IF(21&lt;=DAY(DATE(Setup!$B$8,4+1,0)),21,"")</f>
        <v>21</v>
      </c>
      <c r="X4" s="10">
        <f>IF(22&lt;=DAY(DATE(Setup!$B$8,4+1,0)),22,"")</f>
        <v>22</v>
      </c>
      <c r="Y4" s="10">
        <f>IF(23&lt;=DAY(DATE(Setup!$B$8,4+1,0)),23,"")</f>
        <v>23</v>
      </c>
      <c r="Z4" s="10">
        <f>IF(24&lt;=DAY(DATE(Setup!$B$8,4+1,0)),24,"")</f>
        <v>24</v>
      </c>
      <c r="AA4" s="10">
        <f>IF(25&lt;=DAY(DATE(Setup!$B$8,4+1,0)),25,"")</f>
        <v>25</v>
      </c>
      <c r="AB4" s="10">
        <f>IF(26&lt;=DAY(DATE(Setup!$B$8,4+1,0)),26,"")</f>
        <v>26</v>
      </c>
      <c r="AC4" s="10">
        <f>IF(27&lt;=DAY(DATE(Setup!$B$8,4+1,0)),27,"")</f>
        <v>27</v>
      </c>
      <c r="AD4" s="10">
        <f>IF(28&lt;=DAY(DATE(Setup!$B$8,4+1,0)),28,"")</f>
        <v>28</v>
      </c>
      <c r="AE4" s="10">
        <f>IF(29&lt;=DAY(DATE(Setup!$B$8,4+1,0)),29,"")</f>
        <v>29</v>
      </c>
      <c r="AF4" s="10">
        <f>IF(30&lt;=DAY(DATE(Setup!$B$8,4+1,0)),30,"")</f>
        <v>30</v>
      </c>
      <c r="AG4" s="10" t="str">
        <f>IF(31&lt;=DAY(DATE(Setup!$B$8,4+1,0)),31,"")</f>
        <v/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IF(C$4="","",CHOOSE(WEEKDAY(DATE(Setup!$B$8,4,C$4)),"Su","Mo","Tu","We","Th","Fr","Sa"))</f>
        <v>We</v>
      </c>
      <c r="D5" s="17" t="str">
        <f>IF(D$4="","",CHOOSE(WEEKDAY(DATE(Setup!$B$8,4,D$4)),"Su","Mo","Tu","We","Th","Fr","Sa"))</f>
        <v>Th</v>
      </c>
      <c r="E5" s="17" t="str">
        <f>IF(E$4="","",CHOOSE(WEEKDAY(DATE(Setup!$B$8,4,E$4)),"Su","Mo","Tu","We","Th","Fr","Sa"))</f>
        <v>Fr</v>
      </c>
      <c r="F5" s="17" t="str">
        <f>IF(F$4="","",CHOOSE(WEEKDAY(DATE(Setup!$B$8,4,F$4)),"Su","Mo","Tu","We","Th","Fr","Sa"))</f>
        <v>Sa</v>
      </c>
      <c r="G5" s="17" t="str">
        <f>IF(G$4="","",CHOOSE(WEEKDAY(DATE(Setup!$B$8,4,G$4)),"Su","Mo","Tu","We","Th","Fr","Sa"))</f>
        <v>Su</v>
      </c>
      <c r="H5" s="17" t="str">
        <f>IF(H$4="","",CHOOSE(WEEKDAY(DATE(Setup!$B$8,4,H$4)),"Su","Mo","Tu","We","Th","Fr","Sa"))</f>
        <v>Mo</v>
      </c>
      <c r="I5" s="17" t="str">
        <f>IF(I$4="","",CHOOSE(WEEKDAY(DATE(Setup!$B$8,4,I$4)),"Su","Mo","Tu","We","Th","Fr","Sa"))</f>
        <v>Tu</v>
      </c>
      <c r="J5" s="17" t="str">
        <f>IF(J$4="","",CHOOSE(WEEKDAY(DATE(Setup!$B$8,4,J$4)),"Su","Mo","Tu","We","Th","Fr","Sa"))</f>
        <v>We</v>
      </c>
      <c r="K5" s="17" t="str">
        <f>IF(K$4="","",CHOOSE(WEEKDAY(DATE(Setup!$B$8,4,K$4)),"Su","Mo","Tu","We","Th","Fr","Sa"))</f>
        <v>Th</v>
      </c>
      <c r="L5" s="17" t="str">
        <f>IF(L$4="","",CHOOSE(WEEKDAY(DATE(Setup!$B$8,4,L$4)),"Su","Mo","Tu","We","Th","Fr","Sa"))</f>
        <v>Fr</v>
      </c>
      <c r="M5" s="17" t="str">
        <f>IF(M$4="","",CHOOSE(WEEKDAY(DATE(Setup!$B$8,4,M$4)),"Su","Mo","Tu","We","Th","Fr","Sa"))</f>
        <v>Sa</v>
      </c>
      <c r="N5" s="17" t="str">
        <f>IF(N$4="","",CHOOSE(WEEKDAY(DATE(Setup!$B$8,4,N$4)),"Su","Mo","Tu","We","Th","Fr","Sa"))</f>
        <v>Su</v>
      </c>
      <c r="O5" s="17" t="str">
        <f>IF(O$4="","",CHOOSE(WEEKDAY(DATE(Setup!$B$8,4,O$4)),"Su","Mo","Tu","We","Th","Fr","Sa"))</f>
        <v>Mo</v>
      </c>
      <c r="P5" s="17" t="str">
        <f>IF(P$4="","",CHOOSE(WEEKDAY(DATE(Setup!$B$8,4,P$4)),"Su","Mo","Tu","We","Th","Fr","Sa"))</f>
        <v>Tu</v>
      </c>
      <c r="Q5" s="17" t="str">
        <f>IF(Q$4="","",CHOOSE(WEEKDAY(DATE(Setup!$B$8,4,Q$4)),"Su","Mo","Tu","We","Th","Fr","Sa"))</f>
        <v>We</v>
      </c>
      <c r="R5" s="17" t="str">
        <f>IF(R$4="","",CHOOSE(WEEKDAY(DATE(Setup!$B$8,4,R$4)),"Su","Mo","Tu","We","Th","Fr","Sa"))</f>
        <v>Th</v>
      </c>
      <c r="S5" s="17" t="str">
        <f>IF(S$4="","",CHOOSE(WEEKDAY(DATE(Setup!$B$8,4,S$4)),"Su","Mo","Tu","We","Th","Fr","Sa"))</f>
        <v>Fr</v>
      </c>
      <c r="T5" s="17" t="str">
        <f>IF(T$4="","",CHOOSE(WEEKDAY(DATE(Setup!$B$8,4,T$4)),"Su","Mo","Tu","We","Th","Fr","Sa"))</f>
        <v>Sa</v>
      </c>
      <c r="U5" s="17" t="str">
        <f>IF(U$4="","",CHOOSE(WEEKDAY(DATE(Setup!$B$8,4,U$4)),"Su","Mo","Tu","We","Th","Fr","Sa"))</f>
        <v>Su</v>
      </c>
      <c r="V5" s="17" t="str">
        <f>IF(V$4="","",CHOOSE(WEEKDAY(DATE(Setup!$B$8,4,V$4)),"Su","Mo","Tu","We","Th","Fr","Sa"))</f>
        <v>Mo</v>
      </c>
      <c r="W5" s="17" t="str">
        <f>IF(W$4="","",CHOOSE(WEEKDAY(DATE(Setup!$B$8,4,W$4)),"Su","Mo","Tu","We","Th","Fr","Sa"))</f>
        <v>Tu</v>
      </c>
      <c r="X5" s="17" t="str">
        <f>IF(X$4="","",CHOOSE(WEEKDAY(DATE(Setup!$B$8,4,X$4)),"Su","Mo","Tu","We","Th","Fr","Sa"))</f>
        <v>We</v>
      </c>
      <c r="Y5" s="17" t="str">
        <f>IF(Y$4="","",CHOOSE(WEEKDAY(DATE(Setup!$B$8,4,Y$4)),"Su","Mo","Tu","We","Th","Fr","Sa"))</f>
        <v>Th</v>
      </c>
      <c r="Z5" s="17" t="str">
        <f>IF(Z$4="","",CHOOSE(WEEKDAY(DATE(Setup!$B$8,4,Z$4)),"Su","Mo","Tu","We","Th","Fr","Sa"))</f>
        <v>Fr</v>
      </c>
      <c r="AA5" s="17" t="str">
        <f>IF(AA$4="","",CHOOSE(WEEKDAY(DATE(Setup!$B$8,4,AA$4)),"Su","Mo","Tu","We","Th","Fr","Sa"))</f>
        <v>Sa</v>
      </c>
      <c r="AB5" s="17" t="str">
        <f>IF(AB$4="","",CHOOSE(WEEKDAY(DATE(Setup!$B$8,4,AB$4)),"Su","Mo","Tu","We","Th","Fr","Sa"))</f>
        <v>Su</v>
      </c>
      <c r="AC5" s="17" t="str">
        <f>IF(AC$4="","",CHOOSE(WEEKDAY(DATE(Setup!$B$8,4,AC$4)),"Su","Mo","Tu","We","Th","Fr","Sa"))</f>
        <v>Mo</v>
      </c>
      <c r="AD5" s="17" t="str">
        <f>IF(AD$4="","",CHOOSE(WEEKDAY(DATE(Setup!$B$8,4,AD$4)),"Su","Mo","Tu","We","Th","Fr","Sa"))</f>
        <v>Tu</v>
      </c>
      <c r="AE5" s="17" t="str">
        <f>IF(AE$4="","",CHOOSE(WEEKDAY(DATE(Setup!$B$8,4,AE$4)),"Su","Mo","Tu","We","Th","Fr","Sa"))</f>
        <v>We</v>
      </c>
      <c r="AF5" s="17" t="str">
        <f>IF(AF$4="","",CHOOSE(WEEKDAY(DATE(Setup!$B$8,4,AF$4)),"Su","Mo","Tu","We","Th","Fr","Sa"))</f>
        <v>Th</v>
      </c>
      <c r="AG5" s="17" t="str">
        <f>IF(AG$4="","",CHOOSE(WEEKDAY(DATE(Setup!$B$8,4,AG$4)),"Su","Mo","Tu","We","Th","Fr","Sa"))</f>
        <v/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 t="s">
        <v>13</v>
      </c>
      <c r="D6" s="20" t="s">
        <v>13</v>
      </c>
      <c r="E6" s="20" t="s">
        <v>13</v>
      </c>
      <c r="F6" s="20" t="s">
        <v>13</v>
      </c>
      <c r="G6" s="20"/>
      <c r="H6" s="20" t="s">
        <v>13</v>
      </c>
      <c r="I6" s="20" t="s">
        <v>13</v>
      </c>
      <c r="J6" s="20" t="s">
        <v>13</v>
      </c>
      <c r="K6" s="20" t="s">
        <v>13</v>
      </c>
      <c r="L6" s="20" t="s">
        <v>13</v>
      </c>
      <c r="M6" s="20" t="s">
        <v>13</v>
      </c>
      <c r="N6" s="20"/>
      <c r="O6" s="20" t="s">
        <v>13</v>
      </c>
      <c r="P6" s="20" t="s">
        <v>13</v>
      </c>
      <c r="Q6" s="20" t="s">
        <v>13</v>
      </c>
      <c r="R6" s="20" t="s">
        <v>13</v>
      </c>
      <c r="S6" s="20" t="s">
        <v>13</v>
      </c>
      <c r="T6" s="20" t="s">
        <v>13</v>
      </c>
      <c r="U6" s="20"/>
      <c r="V6" s="20" t="s">
        <v>13</v>
      </c>
      <c r="W6" s="20" t="s">
        <v>13</v>
      </c>
      <c r="X6" s="20" t="s">
        <v>13</v>
      </c>
      <c r="Y6" s="20" t="s">
        <v>13</v>
      </c>
      <c r="Z6" s="20" t="s">
        <v>13</v>
      </c>
      <c r="AA6" s="20" t="s">
        <v>13</v>
      </c>
      <c r="AB6" s="20"/>
      <c r="AC6" s="20" t="s">
        <v>13</v>
      </c>
      <c r="AD6" s="20" t="s">
        <v>13</v>
      </c>
      <c r="AE6" s="20" t="s">
        <v>13</v>
      </c>
      <c r="AF6" s="20" t="s">
        <v>13</v>
      </c>
      <c r="AG6" s="20"/>
      <c r="AH6" s="21">
        <f>IF($B6="","",COUNTIF(C6:AG6,"P"))</f>
        <v>26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26</v>
      </c>
      <c r="AL6" s="22">
        <f>IF(N(AK6)=0,"",AH6/AK6)</f>
        <v>1</v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 t="s">
        <v>13</v>
      </c>
      <c r="D7" s="20" t="s">
        <v>13</v>
      </c>
      <c r="E7" s="20" t="s">
        <v>13</v>
      </c>
      <c r="F7" s="20" t="s">
        <v>13</v>
      </c>
      <c r="G7" s="20"/>
      <c r="H7" s="20" t="s">
        <v>13</v>
      </c>
      <c r="I7" s="20" t="s">
        <v>7</v>
      </c>
      <c r="J7" s="20" t="s">
        <v>7</v>
      </c>
      <c r="K7" s="20" t="s">
        <v>13</v>
      </c>
      <c r="L7" s="20" t="s">
        <v>13</v>
      </c>
      <c r="M7" s="20" t="s">
        <v>13</v>
      </c>
      <c r="N7" s="20"/>
      <c r="O7" s="20" t="s">
        <v>13</v>
      </c>
      <c r="P7" s="20" t="s">
        <v>13</v>
      </c>
      <c r="Q7" s="20" t="s">
        <v>13</v>
      </c>
      <c r="R7" s="20" t="s">
        <v>13</v>
      </c>
      <c r="S7" s="20" t="s">
        <v>13</v>
      </c>
      <c r="T7" s="20" t="s">
        <v>13</v>
      </c>
      <c r="U7" s="20"/>
      <c r="V7" s="20" t="s">
        <v>13</v>
      </c>
      <c r="W7" s="20" t="s">
        <v>13</v>
      </c>
      <c r="X7" s="20" t="s">
        <v>13</v>
      </c>
      <c r="Y7" s="20" t="s">
        <v>13</v>
      </c>
      <c r="Z7" s="20" t="s">
        <v>13</v>
      </c>
      <c r="AA7" s="20" t="s">
        <v>13</v>
      </c>
      <c r="AB7" s="20"/>
      <c r="AC7" s="20" t="s">
        <v>13</v>
      </c>
      <c r="AD7" s="20" t="s">
        <v>13</v>
      </c>
      <c r="AE7" s="20" t="s">
        <v>13</v>
      </c>
      <c r="AF7" s="20" t="s">
        <v>13</v>
      </c>
      <c r="AG7" s="20"/>
      <c r="AH7" s="21">
        <f>IF($B7="","",COUNTIF(C7:AG7,"P"))</f>
        <v>24</v>
      </c>
      <c r="AI7" s="21">
        <f>IF($B7="","",COUNTIF(C7:AG7,"A"))</f>
        <v>2</v>
      </c>
      <c r="AJ7" s="21">
        <f>IF($B7="","",COUNTIF(C7:AG7,"L"))</f>
        <v>0</v>
      </c>
      <c r="AK7" s="21">
        <f>IF($B7="","",AH7+AI7+AJ7)</f>
        <v>26</v>
      </c>
      <c r="AL7" s="22">
        <f>IF(N(AK7)=0,"",AH7/AK7)</f>
        <v>0.9230769230769231</v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 t="s">
        <v>13</v>
      </c>
      <c r="D8" s="20" t="s">
        <v>13</v>
      </c>
      <c r="E8" s="20" t="s">
        <v>13</v>
      </c>
      <c r="F8" s="20" t="s">
        <v>13</v>
      </c>
      <c r="G8" s="20"/>
      <c r="H8" s="20" t="s">
        <v>13</v>
      </c>
      <c r="I8" s="20" t="s">
        <v>13</v>
      </c>
      <c r="J8" s="20" t="s">
        <v>13</v>
      </c>
      <c r="K8" s="20" t="s">
        <v>13</v>
      </c>
      <c r="L8" s="20" t="s">
        <v>13</v>
      </c>
      <c r="M8" s="20" t="s">
        <v>13</v>
      </c>
      <c r="N8" s="20"/>
      <c r="O8" s="20" t="s">
        <v>13</v>
      </c>
      <c r="P8" s="20" t="s">
        <v>16</v>
      </c>
      <c r="Q8" s="20" t="s">
        <v>16</v>
      </c>
      <c r="R8" s="20" t="s">
        <v>16</v>
      </c>
      <c r="S8" s="20" t="s">
        <v>13</v>
      </c>
      <c r="T8" s="20" t="s">
        <v>13</v>
      </c>
      <c r="U8" s="20"/>
      <c r="V8" s="20" t="s">
        <v>13</v>
      </c>
      <c r="W8" s="20" t="s">
        <v>13</v>
      </c>
      <c r="X8" s="20" t="s">
        <v>13</v>
      </c>
      <c r="Y8" s="20" t="s">
        <v>13</v>
      </c>
      <c r="Z8" s="20" t="s">
        <v>13</v>
      </c>
      <c r="AA8" s="20" t="s">
        <v>13</v>
      </c>
      <c r="AB8" s="20"/>
      <c r="AC8" s="20" t="s">
        <v>13</v>
      </c>
      <c r="AD8" s="20" t="s">
        <v>13</v>
      </c>
      <c r="AE8" s="20" t="s">
        <v>13</v>
      </c>
      <c r="AF8" s="20" t="s">
        <v>13</v>
      </c>
      <c r="AG8" s="20"/>
      <c r="AH8" s="21">
        <f>IF($B8="","",COUNTIF(C8:AG8,"P"))</f>
        <v>23</v>
      </c>
      <c r="AI8" s="21">
        <f>IF($B8="","",COUNTIF(C8:AG8,"A"))</f>
        <v>0</v>
      </c>
      <c r="AJ8" s="21">
        <f>IF($B8="","",COUNTIF(C8:AG8,"L"))</f>
        <v>3</v>
      </c>
      <c r="AK8" s="21">
        <f>IF($B8="","",AH8+AI8+AJ8)</f>
        <v>26</v>
      </c>
      <c r="AL8" s="22">
        <f>IF(N(AK8)=0,"",AH8/AK8)</f>
        <v>0.8846153846153846</v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 t="s">
        <v>13</v>
      </c>
      <c r="D9" s="20" t="s">
        <v>13</v>
      </c>
      <c r="E9" s="20" t="s">
        <v>7</v>
      </c>
      <c r="F9" s="20" t="s">
        <v>13</v>
      </c>
      <c r="G9" s="20"/>
      <c r="H9" s="20" t="s">
        <v>13</v>
      </c>
      <c r="I9" s="20" t="s">
        <v>13</v>
      </c>
      <c r="J9" s="20" t="s">
        <v>13</v>
      </c>
      <c r="K9" s="20" t="s">
        <v>13</v>
      </c>
      <c r="L9" s="20" t="s">
        <v>13</v>
      </c>
      <c r="M9" s="20" t="s">
        <v>13</v>
      </c>
      <c r="N9" s="20"/>
      <c r="O9" s="20" t="s">
        <v>13</v>
      </c>
      <c r="P9" s="20" t="s">
        <v>13</v>
      </c>
      <c r="Q9" s="20" t="s">
        <v>13</v>
      </c>
      <c r="R9" s="20" t="s">
        <v>13</v>
      </c>
      <c r="S9" s="20" t="s">
        <v>13</v>
      </c>
      <c r="T9" s="20" t="s">
        <v>13</v>
      </c>
      <c r="U9" s="20"/>
      <c r="V9" s="20" t="s">
        <v>13</v>
      </c>
      <c r="W9" s="20" t="s">
        <v>13</v>
      </c>
      <c r="X9" s="20" t="s">
        <v>13</v>
      </c>
      <c r="Y9" s="20" t="s">
        <v>13</v>
      </c>
      <c r="Z9" s="20" t="s">
        <v>13</v>
      </c>
      <c r="AA9" s="20" t="s">
        <v>13</v>
      </c>
      <c r="AB9" s="20"/>
      <c r="AC9" s="20" t="s">
        <v>13</v>
      </c>
      <c r="AD9" s="20" t="s">
        <v>13</v>
      </c>
      <c r="AE9" s="20" t="s">
        <v>13</v>
      </c>
      <c r="AF9" s="20" t="s">
        <v>13</v>
      </c>
      <c r="AG9" s="20"/>
      <c r="AH9" s="21">
        <f>IF($B9="","",COUNTIF(C9:AG9,"P"))</f>
        <v>25</v>
      </c>
      <c r="AI9" s="21">
        <f>IF($B9="","",COUNTIF(C9:AG9,"A"))</f>
        <v>1</v>
      </c>
      <c r="AJ9" s="21">
        <f>IF($B9="","",COUNTIF(C9:AG9,"L"))</f>
        <v>0</v>
      </c>
      <c r="AK9" s="21">
        <f>IF($B9="","",AH9+AI9+AJ9)</f>
        <v>26</v>
      </c>
      <c r="AL9" s="22">
        <f>IF(N(AK9)=0,"",AH9/AK9)</f>
        <v>0.9615384615384616</v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 t="s">
        <v>13</v>
      </c>
      <c r="D10" s="20" t="s">
        <v>13</v>
      </c>
      <c r="E10" s="20" t="s">
        <v>13</v>
      </c>
      <c r="F10" s="20" t="s">
        <v>13</v>
      </c>
      <c r="G10" s="20"/>
      <c r="H10" s="20" t="s">
        <v>13</v>
      </c>
      <c r="I10" s="20" t="s">
        <v>13</v>
      </c>
      <c r="J10" s="20" t="s">
        <v>13</v>
      </c>
      <c r="K10" s="20" t="s">
        <v>13</v>
      </c>
      <c r="L10" s="20" t="s">
        <v>13</v>
      </c>
      <c r="M10" s="20" t="s">
        <v>13</v>
      </c>
      <c r="N10" s="20"/>
      <c r="O10" s="20" t="s">
        <v>13</v>
      </c>
      <c r="P10" s="20" t="s">
        <v>13</v>
      </c>
      <c r="Q10" s="20" t="s">
        <v>13</v>
      </c>
      <c r="R10" s="20" t="s">
        <v>13</v>
      </c>
      <c r="S10" s="20" t="s">
        <v>13</v>
      </c>
      <c r="T10" s="20" t="s">
        <v>13</v>
      </c>
      <c r="U10" s="20"/>
      <c r="V10" s="20" t="s">
        <v>7</v>
      </c>
      <c r="W10" s="20" t="s">
        <v>7</v>
      </c>
      <c r="X10" s="20" t="s">
        <v>7</v>
      </c>
      <c r="Y10" s="20" t="s">
        <v>7</v>
      </c>
      <c r="Z10" s="20" t="s">
        <v>7</v>
      </c>
      <c r="AA10" s="20" t="s">
        <v>7</v>
      </c>
      <c r="AB10" s="20"/>
      <c r="AC10" s="20" t="s">
        <v>7</v>
      </c>
      <c r="AD10" s="20" t="s">
        <v>13</v>
      </c>
      <c r="AE10" s="20" t="s">
        <v>13</v>
      </c>
      <c r="AF10" s="20" t="s">
        <v>13</v>
      </c>
      <c r="AG10" s="20"/>
      <c r="AH10" s="21">
        <f>IF($B10="","",COUNTIF(C10:AG10,"P"))</f>
        <v>19</v>
      </c>
      <c r="AI10" s="21">
        <f>IF($B10="","",COUNTIF(C10:AG10,"A"))</f>
        <v>7</v>
      </c>
      <c r="AJ10" s="21">
        <f>IF($B10="","",COUNTIF(C10:AG10,"L"))</f>
        <v>0</v>
      </c>
      <c r="AK10" s="21">
        <f>IF($B10="","",AH10+AI10+AJ10)</f>
        <v>26</v>
      </c>
      <c r="AL10" s="22">
        <f>IF(N(AK10)=0,"",AH10/AK10)</f>
        <v>0.7307692307692307</v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 t="s">
        <v>13</v>
      </c>
      <c r="D11" s="20" t="s">
        <v>13</v>
      </c>
      <c r="E11" s="20" t="s">
        <v>13</v>
      </c>
      <c r="F11" s="20" t="s">
        <v>13</v>
      </c>
      <c r="G11" s="20"/>
      <c r="H11" s="20" t="s">
        <v>13</v>
      </c>
      <c r="I11" s="20" t="s">
        <v>13</v>
      </c>
      <c r="J11" s="20" t="s">
        <v>13</v>
      </c>
      <c r="K11" s="20" t="s">
        <v>7</v>
      </c>
      <c r="L11" s="20" t="s">
        <v>13</v>
      </c>
      <c r="M11" s="20" t="s">
        <v>13</v>
      </c>
      <c r="N11" s="20"/>
      <c r="O11" s="20" t="s">
        <v>13</v>
      </c>
      <c r="P11" s="20" t="s">
        <v>13</v>
      </c>
      <c r="Q11" s="20" t="s">
        <v>13</v>
      </c>
      <c r="R11" s="20" t="s">
        <v>13</v>
      </c>
      <c r="S11" s="20" t="s">
        <v>13</v>
      </c>
      <c r="T11" s="20" t="s">
        <v>13</v>
      </c>
      <c r="U11" s="20"/>
      <c r="V11" s="20" t="s">
        <v>13</v>
      </c>
      <c r="W11" s="20" t="s">
        <v>13</v>
      </c>
      <c r="X11" s="20" t="s">
        <v>13</v>
      </c>
      <c r="Y11" s="20" t="s">
        <v>13</v>
      </c>
      <c r="Z11" s="20" t="s">
        <v>13</v>
      </c>
      <c r="AA11" s="20" t="s">
        <v>13</v>
      </c>
      <c r="AB11" s="20"/>
      <c r="AC11" s="20" t="s">
        <v>13</v>
      </c>
      <c r="AD11" s="20" t="s">
        <v>13</v>
      </c>
      <c r="AE11" s="20" t="s">
        <v>13</v>
      </c>
      <c r="AF11" s="20" t="s">
        <v>13</v>
      </c>
      <c r="AG11" s="20"/>
      <c r="AH11" s="21">
        <f>IF($B11="","",COUNTIF(C11:AG11,"P"))</f>
        <v>25</v>
      </c>
      <c r="AI11" s="21">
        <f>IF($B11="","",COUNTIF(C11:AG11,"A"))</f>
        <v>1</v>
      </c>
      <c r="AJ11" s="21">
        <f>IF($B11="","",COUNTIF(C11:AG11,"L"))</f>
        <v>0</v>
      </c>
      <c r="AK11" s="21">
        <f>IF($B11="","",AH11+AI11+AJ11)</f>
        <v>26</v>
      </c>
      <c r="AL11" s="22">
        <f>IF(N(AK11)=0,"",AH11/AK11)</f>
        <v>0.9615384615384616</v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 t="s">
        <v>13</v>
      </c>
      <c r="D12" s="20" t="s">
        <v>13</v>
      </c>
      <c r="E12" s="20" t="s">
        <v>13</v>
      </c>
      <c r="F12" s="20" t="s">
        <v>13</v>
      </c>
      <c r="G12" s="20"/>
      <c r="H12" s="20" t="s">
        <v>13</v>
      </c>
      <c r="I12" s="20" t="s">
        <v>13</v>
      </c>
      <c r="J12" s="20" t="s">
        <v>13</v>
      </c>
      <c r="K12" s="20" t="s">
        <v>13</v>
      </c>
      <c r="L12" s="20" t="s">
        <v>13</v>
      </c>
      <c r="M12" s="20" t="s">
        <v>13</v>
      </c>
      <c r="N12" s="20"/>
      <c r="O12" s="20" t="s">
        <v>13</v>
      </c>
      <c r="P12" s="20" t="s">
        <v>13</v>
      </c>
      <c r="Q12" s="20" t="s">
        <v>13</v>
      </c>
      <c r="R12" s="20" t="s">
        <v>13</v>
      </c>
      <c r="S12" s="20" t="s">
        <v>13</v>
      </c>
      <c r="T12" s="20" t="s">
        <v>13</v>
      </c>
      <c r="U12" s="20"/>
      <c r="V12" s="20" t="s">
        <v>13</v>
      </c>
      <c r="W12" s="20" t="s">
        <v>13</v>
      </c>
      <c r="X12" s="20" t="s">
        <v>13</v>
      </c>
      <c r="Y12" s="20" t="s">
        <v>13</v>
      </c>
      <c r="Z12" s="20" t="s">
        <v>13</v>
      </c>
      <c r="AA12" s="20" t="s">
        <v>13</v>
      </c>
      <c r="AB12" s="20"/>
      <c r="AC12" s="20" t="s">
        <v>13</v>
      </c>
      <c r="AD12" s="20" t="s">
        <v>13</v>
      </c>
      <c r="AE12" s="20" t="s">
        <v>13</v>
      </c>
      <c r="AF12" s="20" t="s">
        <v>13</v>
      </c>
      <c r="AG12" s="20"/>
      <c r="AH12" s="21">
        <f>IF($B12="","",COUNTIF(C12:AG12,"P"))</f>
        <v>26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26</v>
      </c>
      <c r="AL12" s="22">
        <f>IF(N(AK12)=0,"",AH12/AK12)</f>
        <v>1</v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 t="s">
        <v>13</v>
      </c>
      <c r="D13" s="20" t="s">
        <v>13</v>
      </c>
      <c r="E13" s="20" t="s">
        <v>13</v>
      </c>
      <c r="F13" s="20" t="s">
        <v>13</v>
      </c>
      <c r="G13" s="20"/>
      <c r="H13" s="20" t="s">
        <v>13</v>
      </c>
      <c r="I13" s="20" t="s">
        <v>13</v>
      </c>
      <c r="J13" s="20" t="s">
        <v>13</v>
      </c>
      <c r="K13" s="20" t="s">
        <v>13</v>
      </c>
      <c r="L13" s="20" t="s">
        <v>13</v>
      </c>
      <c r="M13" s="20" t="s">
        <v>13</v>
      </c>
      <c r="N13" s="20"/>
      <c r="O13" s="20" t="s">
        <v>13</v>
      </c>
      <c r="P13" s="20" t="s">
        <v>13</v>
      </c>
      <c r="Q13" s="20" t="s">
        <v>13</v>
      </c>
      <c r="R13" s="20" t="s">
        <v>13</v>
      </c>
      <c r="S13" s="20" t="s">
        <v>13</v>
      </c>
      <c r="T13" s="20" t="s">
        <v>13</v>
      </c>
      <c r="U13" s="20"/>
      <c r="V13" s="20" t="s">
        <v>13</v>
      </c>
      <c r="W13" s="20" t="s">
        <v>13</v>
      </c>
      <c r="X13" s="20" t="s">
        <v>13</v>
      </c>
      <c r="Y13" s="20" t="s">
        <v>13</v>
      </c>
      <c r="Z13" s="20" t="s">
        <v>13</v>
      </c>
      <c r="AA13" s="20" t="s">
        <v>13</v>
      </c>
      <c r="AB13" s="20"/>
      <c r="AC13" s="20" t="s">
        <v>13</v>
      </c>
      <c r="AD13" s="20" t="s">
        <v>16</v>
      </c>
      <c r="AE13" s="20" t="s">
        <v>16</v>
      </c>
      <c r="AF13" s="20" t="s">
        <v>13</v>
      </c>
      <c r="AG13" s="20"/>
      <c r="AH13" s="21">
        <f>IF($B13="","",COUNTIF(C13:AG13,"P"))</f>
        <v>24</v>
      </c>
      <c r="AI13" s="21">
        <f>IF($B13="","",COUNTIF(C13:AG13,"A"))</f>
        <v>0</v>
      </c>
      <c r="AJ13" s="21">
        <f>IF($B13="","",COUNTIF(C13:AG13,"L"))</f>
        <v>2</v>
      </c>
      <c r="AK13" s="21">
        <f>IF($B13="","",AH13+AI13+AJ13)</f>
        <v>26</v>
      </c>
      <c r="AL13" s="22">
        <f>IF(N(AK13)=0,"",AH13/AK13)</f>
        <v>0.9230769230769231</v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8</v>
      </c>
      <c r="D56" s="24">
        <f>IF(D$4="","",COUNTIF(D6:D55,"P"))</f>
        <v>8</v>
      </c>
      <c r="E56" s="24">
        <f>IF(E$4="","",COUNTIF(E6:E55,"P"))</f>
        <v>7</v>
      </c>
      <c r="F56" s="24">
        <f>IF(F$4="","",COUNTIF(F6:F55,"P"))</f>
        <v>8</v>
      </c>
      <c r="G56" s="24">
        <f>IF(G$4="","",COUNTIF(G6:G55,"P"))</f>
        <v>0</v>
      </c>
      <c r="H56" s="24">
        <f>IF(H$4="","",COUNTIF(H6:H55,"P"))</f>
        <v>8</v>
      </c>
      <c r="I56" s="24">
        <f>IF(I$4="","",COUNTIF(I6:I55,"P"))</f>
        <v>7</v>
      </c>
      <c r="J56" s="24">
        <f>IF(J$4="","",COUNTIF(J6:J55,"P"))</f>
        <v>7</v>
      </c>
      <c r="K56" s="24">
        <f>IF(K$4="","",COUNTIF(K6:K55,"P"))</f>
        <v>7</v>
      </c>
      <c r="L56" s="24">
        <f>IF(L$4="","",COUNTIF(L6:L55,"P"))</f>
        <v>8</v>
      </c>
      <c r="M56" s="24">
        <f>IF(M$4="","",COUNTIF(M6:M55,"P"))</f>
        <v>8</v>
      </c>
      <c r="N56" s="24">
        <f>IF(N$4="","",COUNTIF(N6:N55,"P"))</f>
        <v>0</v>
      </c>
      <c r="O56" s="24">
        <f>IF(O$4="","",COUNTIF(O6:O55,"P"))</f>
        <v>8</v>
      </c>
      <c r="P56" s="24">
        <f>IF(P$4="","",COUNTIF(P6:P55,"P"))</f>
        <v>7</v>
      </c>
      <c r="Q56" s="24">
        <f>IF(Q$4="","",COUNTIF(Q6:Q55,"P"))</f>
        <v>7</v>
      </c>
      <c r="R56" s="24">
        <f>IF(R$4="","",COUNTIF(R6:R55,"P"))</f>
        <v>7</v>
      </c>
      <c r="S56" s="24">
        <f>IF(S$4="","",COUNTIF(S6:S55,"P"))</f>
        <v>8</v>
      </c>
      <c r="T56" s="24">
        <f>IF(T$4="","",COUNTIF(T6:T55,"P"))</f>
        <v>8</v>
      </c>
      <c r="U56" s="24">
        <f>IF(U$4="","",COUNTIF(U6:U55,"P"))</f>
        <v>0</v>
      </c>
      <c r="V56" s="24">
        <f>IF(V$4="","",COUNTIF(V6:V55,"P"))</f>
        <v>7</v>
      </c>
      <c r="W56" s="24">
        <f>IF(W$4="","",COUNTIF(W6:W55,"P"))</f>
        <v>7</v>
      </c>
      <c r="X56" s="24">
        <f>IF(X$4="","",COUNTIF(X6:X55,"P"))</f>
        <v>7</v>
      </c>
      <c r="Y56" s="24">
        <f>IF(Y$4="","",COUNTIF(Y6:Y55,"P"))</f>
        <v>7</v>
      </c>
      <c r="Z56" s="24">
        <f>IF(Z$4="","",COUNTIF(Z6:Z55,"P"))</f>
        <v>7</v>
      </c>
      <c r="AA56" s="24">
        <f>IF(AA$4="","",COUNTIF(AA6:AA55,"P"))</f>
        <v>7</v>
      </c>
      <c r="AB56" s="24">
        <f>IF(AB$4="","",COUNTIF(AB6:AB55,"P"))</f>
        <v>0</v>
      </c>
      <c r="AC56" s="24">
        <f>IF(AC$4="","",COUNTIF(AC6:AC55,"P"))</f>
        <v>7</v>
      </c>
      <c r="AD56" s="24">
        <f>IF(AD$4="","",COUNTIF(AD6:AD55,"P"))</f>
        <v>7</v>
      </c>
      <c r="AE56" s="24">
        <f>IF(AE$4="","",COUNTIF(AE6:AE55,"P"))</f>
        <v>7</v>
      </c>
      <c r="AF56" s="24">
        <f>IF(AF$4="","",COUNTIF(AF6:AF55,"P"))</f>
        <v>8</v>
      </c>
      <c r="AG56" s="24" t="str">
        <f>IF(AG$4="","",COUNTIF(AG6:AG55,"P"))</f>
        <v/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1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1</v>
      </c>
      <c r="J57" s="24">
        <f>IF(J$4="","",COUNTIF(J6:J55,"A")+COUNTIF(J6:J55,"L"))</f>
        <v>1</v>
      </c>
      <c r="K57" s="24">
        <f>IF(K$4="","",COUNTIF(K6:K55,"A")+COUNTIF(K6:K55,"L"))</f>
        <v>1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1</v>
      </c>
      <c r="Q57" s="24">
        <f>IF(Q$4="","",COUNTIF(Q6:Q55,"A")+COUNTIF(Q6:Q55,"L"))</f>
        <v>1</v>
      </c>
      <c r="R57" s="24">
        <f>IF(R$4="","",COUNTIF(R6:R55,"A")+COUNTIF(R6:R55,"L"))</f>
        <v>1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1</v>
      </c>
      <c r="W57" s="24">
        <f>IF(W$4="","",COUNTIF(W6:W55,"A")+COUNTIF(W6:W55,"L"))</f>
        <v>1</v>
      </c>
      <c r="X57" s="24">
        <f>IF(X$4="","",COUNTIF(X6:X55,"A")+COUNTIF(X6:X55,"L"))</f>
        <v>1</v>
      </c>
      <c r="Y57" s="24">
        <f>IF(Y$4="","",COUNTIF(Y6:Y55,"A")+COUNTIF(Y6:Y55,"L"))</f>
        <v>1</v>
      </c>
      <c r="Z57" s="24">
        <f>IF(Z$4="","",COUNTIF(Z6:Z55,"A")+COUNTIF(Z6:Z55,"L"))</f>
        <v>1</v>
      </c>
      <c r="AA57" s="24">
        <f>IF(AA$4="","",COUNTIF(AA6:AA55,"A")+COUNTIF(AA6:AA55,"L"))</f>
        <v>1</v>
      </c>
      <c r="AB57" s="24">
        <f>IF(AB$4="","",COUNTIF(AB6:AB55,"A")+COUNTIF(AB6:AB55,"L"))</f>
        <v>0</v>
      </c>
      <c r="AC57" s="24">
        <f>IF(AC$4="","",COUNTIF(AC6:AC55,"A")+COUNTIF(AC6:AC55,"L"))</f>
        <v>1</v>
      </c>
      <c r="AD57" s="24">
        <f>IF(AD$4="","",COUNTIF(AD6:AD55,"A")+COUNTIF(AD6:AD55,"L"))</f>
        <v>1</v>
      </c>
      <c r="AE57" s="24">
        <f>IF(AE$4="","",COUNTIF(AE6:AE55,"A")+COUNTIF(AE6:AE55,"L"))</f>
        <v>1</v>
      </c>
      <c r="AF57" s="24">
        <f>IF(AF$4="","",COUNTIF(AF6:AF55,"A")+COUNTIF(AF6:AF55,"L"))</f>
        <v>0</v>
      </c>
      <c r="AG57" s="24" t="str">
        <f>IF(AG$4="","",COUNTIF(AG6:AG55,"A")+COUNTIF(AG6:AG55,"L"))</f>
        <v/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0" priority="1">
      <formula>C$4=""</formula>
    </cfRule>
  </conditionalFormatting>
  <conditionalFormatting sqref="C6:AG55">
    <cfRule type="expression" dxfId="1" priority="2">
      <formula>C6="A"</formula>
    </cfRule>
    <cfRule type="expression" dxfId="2" priority="3">
      <formula>C6="L"</formula>
    </cfRule>
    <cfRule type="expression" dxfId="3" priority="4">
      <formula>C6="H"</formula>
    </cfRule>
    <cfRule type="expression" dxfId="4" priority="5">
      <formula>C$5="Su"</formula>
    </cfRule>
  </conditionalFormatting>
  <conditionalFormatting sqref="AL6:AL55">
    <cfRule type="expression" dxfId="5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May "&amp;Setup!$B$8&amp;"   ·   Class teacher: "&amp;Setup!$B$7</f>
        <v>Class VII A   ·   May 2026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IF(1&lt;=DAY(DATE(Setup!$B$8,5+1,0)),1,"")</f>
        <v>1</v>
      </c>
      <c r="D4" s="10">
        <f>IF(2&lt;=DAY(DATE(Setup!$B$8,5+1,0)),2,"")</f>
        <v>2</v>
      </c>
      <c r="E4" s="10">
        <f>IF(3&lt;=DAY(DATE(Setup!$B$8,5+1,0)),3,"")</f>
        <v>3</v>
      </c>
      <c r="F4" s="10">
        <f>IF(4&lt;=DAY(DATE(Setup!$B$8,5+1,0)),4,"")</f>
        <v>4</v>
      </c>
      <c r="G4" s="10">
        <f>IF(5&lt;=DAY(DATE(Setup!$B$8,5+1,0)),5,"")</f>
        <v>5</v>
      </c>
      <c r="H4" s="10">
        <f>IF(6&lt;=DAY(DATE(Setup!$B$8,5+1,0)),6,"")</f>
        <v>6</v>
      </c>
      <c r="I4" s="10">
        <f>IF(7&lt;=DAY(DATE(Setup!$B$8,5+1,0)),7,"")</f>
        <v>7</v>
      </c>
      <c r="J4" s="10">
        <f>IF(8&lt;=DAY(DATE(Setup!$B$8,5+1,0)),8,"")</f>
        <v>8</v>
      </c>
      <c r="K4" s="10">
        <f>IF(9&lt;=DAY(DATE(Setup!$B$8,5+1,0)),9,"")</f>
        <v>9</v>
      </c>
      <c r="L4" s="10">
        <f>IF(10&lt;=DAY(DATE(Setup!$B$8,5+1,0)),10,"")</f>
        <v>10</v>
      </c>
      <c r="M4" s="10">
        <f>IF(11&lt;=DAY(DATE(Setup!$B$8,5+1,0)),11,"")</f>
        <v>11</v>
      </c>
      <c r="N4" s="10">
        <f>IF(12&lt;=DAY(DATE(Setup!$B$8,5+1,0)),12,"")</f>
        <v>12</v>
      </c>
      <c r="O4" s="10">
        <f>IF(13&lt;=DAY(DATE(Setup!$B$8,5+1,0)),13,"")</f>
        <v>13</v>
      </c>
      <c r="P4" s="10">
        <f>IF(14&lt;=DAY(DATE(Setup!$B$8,5+1,0)),14,"")</f>
        <v>14</v>
      </c>
      <c r="Q4" s="10">
        <f>IF(15&lt;=DAY(DATE(Setup!$B$8,5+1,0)),15,"")</f>
        <v>15</v>
      </c>
      <c r="R4" s="10">
        <f>IF(16&lt;=DAY(DATE(Setup!$B$8,5+1,0)),16,"")</f>
        <v>16</v>
      </c>
      <c r="S4" s="10">
        <f>IF(17&lt;=DAY(DATE(Setup!$B$8,5+1,0)),17,"")</f>
        <v>17</v>
      </c>
      <c r="T4" s="10">
        <f>IF(18&lt;=DAY(DATE(Setup!$B$8,5+1,0)),18,"")</f>
        <v>18</v>
      </c>
      <c r="U4" s="10">
        <f>IF(19&lt;=DAY(DATE(Setup!$B$8,5+1,0)),19,"")</f>
        <v>19</v>
      </c>
      <c r="V4" s="10">
        <f>IF(20&lt;=DAY(DATE(Setup!$B$8,5+1,0)),20,"")</f>
        <v>20</v>
      </c>
      <c r="W4" s="10">
        <f>IF(21&lt;=DAY(DATE(Setup!$B$8,5+1,0)),21,"")</f>
        <v>21</v>
      </c>
      <c r="X4" s="10">
        <f>IF(22&lt;=DAY(DATE(Setup!$B$8,5+1,0)),22,"")</f>
        <v>22</v>
      </c>
      <c r="Y4" s="10">
        <f>IF(23&lt;=DAY(DATE(Setup!$B$8,5+1,0)),23,"")</f>
        <v>23</v>
      </c>
      <c r="Z4" s="10">
        <f>IF(24&lt;=DAY(DATE(Setup!$B$8,5+1,0)),24,"")</f>
        <v>24</v>
      </c>
      <c r="AA4" s="10">
        <f>IF(25&lt;=DAY(DATE(Setup!$B$8,5+1,0)),25,"")</f>
        <v>25</v>
      </c>
      <c r="AB4" s="10">
        <f>IF(26&lt;=DAY(DATE(Setup!$B$8,5+1,0)),26,"")</f>
        <v>26</v>
      </c>
      <c r="AC4" s="10">
        <f>IF(27&lt;=DAY(DATE(Setup!$B$8,5+1,0)),27,"")</f>
        <v>27</v>
      </c>
      <c r="AD4" s="10">
        <f>IF(28&lt;=DAY(DATE(Setup!$B$8,5+1,0)),28,"")</f>
        <v>28</v>
      </c>
      <c r="AE4" s="10">
        <f>IF(29&lt;=DAY(DATE(Setup!$B$8,5+1,0)),29,"")</f>
        <v>29</v>
      </c>
      <c r="AF4" s="10">
        <f>IF(30&lt;=DAY(DATE(Setup!$B$8,5+1,0)),30,"")</f>
        <v>30</v>
      </c>
      <c r="AG4" s="10">
        <f>IF(31&lt;=DAY(DATE(Setup!$B$8,5+1,0)),31,"")</f>
        <v>31</v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IF(C$4="","",CHOOSE(WEEKDAY(DATE(Setup!$B$8,5,C$4)),"Su","Mo","Tu","We","Th","Fr","Sa"))</f>
        <v>Fr</v>
      </c>
      <c r="D5" s="17" t="str">
        <f>IF(D$4="","",CHOOSE(WEEKDAY(DATE(Setup!$B$8,5,D$4)),"Su","Mo","Tu","We","Th","Fr","Sa"))</f>
        <v>Sa</v>
      </c>
      <c r="E5" s="17" t="str">
        <f>IF(E$4="","",CHOOSE(WEEKDAY(DATE(Setup!$B$8,5,E$4)),"Su","Mo","Tu","We","Th","Fr","Sa"))</f>
        <v>Su</v>
      </c>
      <c r="F5" s="17" t="str">
        <f>IF(F$4="","",CHOOSE(WEEKDAY(DATE(Setup!$B$8,5,F$4)),"Su","Mo","Tu","We","Th","Fr","Sa"))</f>
        <v>Mo</v>
      </c>
      <c r="G5" s="17" t="str">
        <f>IF(G$4="","",CHOOSE(WEEKDAY(DATE(Setup!$B$8,5,G$4)),"Su","Mo","Tu","We","Th","Fr","Sa"))</f>
        <v>Tu</v>
      </c>
      <c r="H5" s="17" t="str">
        <f>IF(H$4="","",CHOOSE(WEEKDAY(DATE(Setup!$B$8,5,H$4)),"Su","Mo","Tu","We","Th","Fr","Sa"))</f>
        <v>We</v>
      </c>
      <c r="I5" s="17" t="str">
        <f>IF(I$4="","",CHOOSE(WEEKDAY(DATE(Setup!$B$8,5,I$4)),"Su","Mo","Tu","We","Th","Fr","Sa"))</f>
        <v>Th</v>
      </c>
      <c r="J5" s="17" t="str">
        <f>IF(J$4="","",CHOOSE(WEEKDAY(DATE(Setup!$B$8,5,J$4)),"Su","Mo","Tu","We","Th","Fr","Sa"))</f>
        <v>Fr</v>
      </c>
      <c r="K5" s="17" t="str">
        <f>IF(K$4="","",CHOOSE(WEEKDAY(DATE(Setup!$B$8,5,K$4)),"Su","Mo","Tu","We","Th","Fr","Sa"))</f>
        <v>Sa</v>
      </c>
      <c r="L5" s="17" t="str">
        <f>IF(L$4="","",CHOOSE(WEEKDAY(DATE(Setup!$B$8,5,L$4)),"Su","Mo","Tu","We","Th","Fr","Sa"))</f>
        <v>Su</v>
      </c>
      <c r="M5" s="17" t="str">
        <f>IF(M$4="","",CHOOSE(WEEKDAY(DATE(Setup!$B$8,5,M$4)),"Su","Mo","Tu","We","Th","Fr","Sa"))</f>
        <v>Mo</v>
      </c>
      <c r="N5" s="17" t="str">
        <f>IF(N$4="","",CHOOSE(WEEKDAY(DATE(Setup!$B$8,5,N$4)),"Su","Mo","Tu","We","Th","Fr","Sa"))</f>
        <v>Tu</v>
      </c>
      <c r="O5" s="17" t="str">
        <f>IF(O$4="","",CHOOSE(WEEKDAY(DATE(Setup!$B$8,5,O$4)),"Su","Mo","Tu","We","Th","Fr","Sa"))</f>
        <v>We</v>
      </c>
      <c r="P5" s="17" t="str">
        <f>IF(P$4="","",CHOOSE(WEEKDAY(DATE(Setup!$B$8,5,P$4)),"Su","Mo","Tu","We","Th","Fr","Sa"))</f>
        <v>Th</v>
      </c>
      <c r="Q5" s="17" t="str">
        <f>IF(Q$4="","",CHOOSE(WEEKDAY(DATE(Setup!$B$8,5,Q$4)),"Su","Mo","Tu","We","Th","Fr","Sa"))</f>
        <v>Fr</v>
      </c>
      <c r="R5" s="17" t="str">
        <f>IF(R$4="","",CHOOSE(WEEKDAY(DATE(Setup!$B$8,5,R$4)),"Su","Mo","Tu","We","Th","Fr","Sa"))</f>
        <v>Sa</v>
      </c>
      <c r="S5" s="17" t="str">
        <f>IF(S$4="","",CHOOSE(WEEKDAY(DATE(Setup!$B$8,5,S$4)),"Su","Mo","Tu","We","Th","Fr","Sa"))</f>
        <v>Su</v>
      </c>
      <c r="T5" s="17" t="str">
        <f>IF(T$4="","",CHOOSE(WEEKDAY(DATE(Setup!$B$8,5,T$4)),"Su","Mo","Tu","We","Th","Fr","Sa"))</f>
        <v>Mo</v>
      </c>
      <c r="U5" s="17" t="str">
        <f>IF(U$4="","",CHOOSE(WEEKDAY(DATE(Setup!$B$8,5,U$4)),"Su","Mo","Tu","We","Th","Fr","Sa"))</f>
        <v>Tu</v>
      </c>
      <c r="V5" s="17" t="str">
        <f>IF(V$4="","",CHOOSE(WEEKDAY(DATE(Setup!$B$8,5,V$4)),"Su","Mo","Tu","We","Th","Fr","Sa"))</f>
        <v>We</v>
      </c>
      <c r="W5" s="17" t="str">
        <f>IF(W$4="","",CHOOSE(WEEKDAY(DATE(Setup!$B$8,5,W$4)),"Su","Mo","Tu","We","Th","Fr","Sa"))</f>
        <v>Th</v>
      </c>
      <c r="X5" s="17" t="str">
        <f>IF(X$4="","",CHOOSE(WEEKDAY(DATE(Setup!$B$8,5,X$4)),"Su","Mo","Tu","We","Th","Fr","Sa"))</f>
        <v>Fr</v>
      </c>
      <c r="Y5" s="17" t="str">
        <f>IF(Y$4="","",CHOOSE(WEEKDAY(DATE(Setup!$B$8,5,Y$4)),"Su","Mo","Tu","We","Th","Fr","Sa"))</f>
        <v>Sa</v>
      </c>
      <c r="Z5" s="17" t="str">
        <f>IF(Z$4="","",CHOOSE(WEEKDAY(DATE(Setup!$B$8,5,Z$4)),"Su","Mo","Tu","We","Th","Fr","Sa"))</f>
        <v>Su</v>
      </c>
      <c r="AA5" s="17" t="str">
        <f>IF(AA$4="","",CHOOSE(WEEKDAY(DATE(Setup!$B$8,5,AA$4)),"Su","Mo","Tu","We","Th","Fr","Sa"))</f>
        <v>Mo</v>
      </c>
      <c r="AB5" s="17" t="str">
        <f>IF(AB$4="","",CHOOSE(WEEKDAY(DATE(Setup!$B$8,5,AB$4)),"Su","Mo","Tu","We","Th","Fr","Sa"))</f>
        <v>Tu</v>
      </c>
      <c r="AC5" s="17" t="str">
        <f>IF(AC$4="","",CHOOSE(WEEKDAY(DATE(Setup!$B$8,5,AC$4)),"Su","Mo","Tu","We","Th","Fr","Sa"))</f>
        <v>We</v>
      </c>
      <c r="AD5" s="17" t="str">
        <f>IF(AD$4="","",CHOOSE(WEEKDAY(DATE(Setup!$B$8,5,AD$4)),"Su","Mo","Tu","We","Th","Fr","Sa"))</f>
        <v>Th</v>
      </c>
      <c r="AE5" s="17" t="str">
        <f>IF(AE$4="","",CHOOSE(WEEKDAY(DATE(Setup!$B$8,5,AE$4)),"Su","Mo","Tu","We","Th","Fr","Sa"))</f>
        <v>Fr</v>
      </c>
      <c r="AF5" s="17" t="str">
        <f>IF(AF$4="","",CHOOSE(WEEKDAY(DATE(Setup!$B$8,5,AF$4)),"Su","Mo","Tu","We","Th","Fr","Sa"))</f>
        <v>Sa</v>
      </c>
      <c r="AG5" s="17" t="str">
        <f>IF(AG$4="","",CHOOSE(WEEKDAY(DATE(Setup!$B$8,5,AG$4)),"Su","Mo","Tu","We","Th","Fr","Sa"))</f>
        <v>Su</v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>
        <f>IF(AE$4="","",COUNTIF(AE6:AE55,"P"))</f>
        <v>0</v>
      </c>
      <c r="AF56" s="24">
        <f>IF(AF$4="","",COUNTIF(AF6:AF55,"P"))</f>
        <v>0</v>
      </c>
      <c r="AG56" s="24">
        <f>IF(AG$4="","",COUNTIF(AG6:AG55,"P"))</f>
        <v>0</v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>
        <f>IF(AE$4="","",COUNTIF(AE6:AE55,"A")+COUNTIF(AE6:AE55,"L"))</f>
        <v>0</v>
      </c>
      <c r="AF57" s="24">
        <f>IF(AF$4="","",COUNTIF(AF6:AF55,"A")+COUNTIF(AF6:AF55,"L"))</f>
        <v>0</v>
      </c>
      <c r="AG57" s="24">
        <f>IF(AG$4="","",COUNTIF(AG6:AG55,"A")+COUNTIF(AG6:AG55,"L"))</f>
        <v>0</v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6" priority="1">
      <formula>C$4=""</formula>
    </cfRule>
  </conditionalFormatting>
  <conditionalFormatting sqref="C6:AG55">
    <cfRule type="expression" dxfId="7" priority="2">
      <formula>C6="A"</formula>
    </cfRule>
    <cfRule type="expression" dxfId="8" priority="3">
      <formula>C6="L"</formula>
    </cfRule>
    <cfRule type="expression" dxfId="9" priority="4">
      <formula>C6="H"</formula>
    </cfRule>
    <cfRule type="expression" dxfId="10" priority="5">
      <formula>C$5="Su"</formula>
    </cfRule>
  </conditionalFormatting>
  <conditionalFormatting sqref="AL6:AL55">
    <cfRule type="expression" dxfId="11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June "&amp;Setup!$B$8&amp;"   ·   Class teacher: "&amp;Setup!$B$7</f>
        <v>Class VII A   ·   June 2026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IF(1&lt;=DAY(DATE(Setup!$B$8,6+1,0)),1,"")</f>
        <v>1</v>
      </c>
      <c r="D4" s="10">
        <f>IF(2&lt;=DAY(DATE(Setup!$B$8,6+1,0)),2,"")</f>
        <v>2</v>
      </c>
      <c r="E4" s="10">
        <f>IF(3&lt;=DAY(DATE(Setup!$B$8,6+1,0)),3,"")</f>
        <v>3</v>
      </c>
      <c r="F4" s="10">
        <f>IF(4&lt;=DAY(DATE(Setup!$B$8,6+1,0)),4,"")</f>
        <v>4</v>
      </c>
      <c r="G4" s="10">
        <f>IF(5&lt;=DAY(DATE(Setup!$B$8,6+1,0)),5,"")</f>
        <v>5</v>
      </c>
      <c r="H4" s="10">
        <f>IF(6&lt;=DAY(DATE(Setup!$B$8,6+1,0)),6,"")</f>
        <v>6</v>
      </c>
      <c r="I4" s="10">
        <f>IF(7&lt;=DAY(DATE(Setup!$B$8,6+1,0)),7,"")</f>
        <v>7</v>
      </c>
      <c r="J4" s="10">
        <f>IF(8&lt;=DAY(DATE(Setup!$B$8,6+1,0)),8,"")</f>
        <v>8</v>
      </c>
      <c r="K4" s="10">
        <f>IF(9&lt;=DAY(DATE(Setup!$B$8,6+1,0)),9,"")</f>
        <v>9</v>
      </c>
      <c r="L4" s="10">
        <f>IF(10&lt;=DAY(DATE(Setup!$B$8,6+1,0)),10,"")</f>
        <v>10</v>
      </c>
      <c r="M4" s="10">
        <f>IF(11&lt;=DAY(DATE(Setup!$B$8,6+1,0)),11,"")</f>
        <v>11</v>
      </c>
      <c r="N4" s="10">
        <f>IF(12&lt;=DAY(DATE(Setup!$B$8,6+1,0)),12,"")</f>
        <v>12</v>
      </c>
      <c r="O4" s="10">
        <f>IF(13&lt;=DAY(DATE(Setup!$B$8,6+1,0)),13,"")</f>
        <v>13</v>
      </c>
      <c r="P4" s="10">
        <f>IF(14&lt;=DAY(DATE(Setup!$B$8,6+1,0)),14,"")</f>
        <v>14</v>
      </c>
      <c r="Q4" s="10">
        <f>IF(15&lt;=DAY(DATE(Setup!$B$8,6+1,0)),15,"")</f>
        <v>15</v>
      </c>
      <c r="R4" s="10">
        <f>IF(16&lt;=DAY(DATE(Setup!$B$8,6+1,0)),16,"")</f>
        <v>16</v>
      </c>
      <c r="S4" s="10">
        <f>IF(17&lt;=DAY(DATE(Setup!$B$8,6+1,0)),17,"")</f>
        <v>17</v>
      </c>
      <c r="T4" s="10">
        <f>IF(18&lt;=DAY(DATE(Setup!$B$8,6+1,0)),18,"")</f>
        <v>18</v>
      </c>
      <c r="U4" s="10">
        <f>IF(19&lt;=DAY(DATE(Setup!$B$8,6+1,0)),19,"")</f>
        <v>19</v>
      </c>
      <c r="V4" s="10">
        <f>IF(20&lt;=DAY(DATE(Setup!$B$8,6+1,0)),20,"")</f>
        <v>20</v>
      </c>
      <c r="W4" s="10">
        <f>IF(21&lt;=DAY(DATE(Setup!$B$8,6+1,0)),21,"")</f>
        <v>21</v>
      </c>
      <c r="X4" s="10">
        <f>IF(22&lt;=DAY(DATE(Setup!$B$8,6+1,0)),22,"")</f>
        <v>22</v>
      </c>
      <c r="Y4" s="10">
        <f>IF(23&lt;=DAY(DATE(Setup!$B$8,6+1,0)),23,"")</f>
        <v>23</v>
      </c>
      <c r="Z4" s="10">
        <f>IF(24&lt;=DAY(DATE(Setup!$B$8,6+1,0)),24,"")</f>
        <v>24</v>
      </c>
      <c r="AA4" s="10">
        <f>IF(25&lt;=DAY(DATE(Setup!$B$8,6+1,0)),25,"")</f>
        <v>25</v>
      </c>
      <c r="AB4" s="10">
        <f>IF(26&lt;=DAY(DATE(Setup!$B$8,6+1,0)),26,"")</f>
        <v>26</v>
      </c>
      <c r="AC4" s="10">
        <f>IF(27&lt;=DAY(DATE(Setup!$B$8,6+1,0)),27,"")</f>
        <v>27</v>
      </c>
      <c r="AD4" s="10">
        <f>IF(28&lt;=DAY(DATE(Setup!$B$8,6+1,0)),28,"")</f>
        <v>28</v>
      </c>
      <c r="AE4" s="10">
        <f>IF(29&lt;=DAY(DATE(Setup!$B$8,6+1,0)),29,"")</f>
        <v>29</v>
      </c>
      <c r="AF4" s="10">
        <f>IF(30&lt;=DAY(DATE(Setup!$B$8,6+1,0)),30,"")</f>
        <v>30</v>
      </c>
      <c r="AG4" s="10" t="str">
        <f>IF(31&lt;=DAY(DATE(Setup!$B$8,6+1,0)),31,"")</f>
        <v/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IF(C$4="","",CHOOSE(WEEKDAY(DATE(Setup!$B$8,6,C$4)),"Su","Mo","Tu","We","Th","Fr","Sa"))</f>
        <v>Mo</v>
      </c>
      <c r="D5" s="17" t="str">
        <f>IF(D$4="","",CHOOSE(WEEKDAY(DATE(Setup!$B$8,6,D$4)),"Su","Mo","Tu","We","Th","Fr","Sa"))</f>
        <v>Tu</v>
      </c>
      <c r="E5" s="17" t="str">
        <f>IF(E$4="","",CHOOSE(WEEKDAY(DATE(Setup!$B$8,6,E$4)),"Su","Mo","Tu","We","Th","Fr","Sa"))</f>
        <v>We</v>
      </c>
      <c r="F5" s="17" t="str">
        <f>IF(F$4="","",CHOOSE(WEEKDAY(DATE(Setup!$B$8,6,F$4)),"Su","Mo","Tu","We","Th","Fr","Sa"))</f>
        <v>Th</v>
      </c>
      <c r="G5" s="17" t="str">
        <f>IF(G$4="","",CHOOSE(WEEKDAY(DATE(Setup!$B$8,6,G$4)),"Su","Mo","Tu","We","Th","Fr","Sa"))</f>
        <v>Fr</v>
      </c>
      <c r="H5" s="17" t="str">
        <f>IF(H$4="","",CHOOSE(WEEKDAY(DATE(Setup!$B$8,6,H$4)),"Su","Mo","Tu","We","Th","Fr","Sa"))</f>
        <v>Sa</v>
      </c>
      <c r="I5" s="17" t="str">
        <f>IF(I$4="","",CHOOSE(WEEKDAY(DATE(Setup!$B$8,6,I$4)),"Su","Mo","Tu","We","Th","Fr","Sa"))</f>
        <v>Su</v>
      </c>
      <c r="J5" s="17" t="str">
        <f>IF(J$4="","",CHOOSE(WEEKDAY(DATE(Setup!$B$8,6,J$4)),"Su","Mo","Tu","We","Th","Fr","Sa"))</f>
        <v>Mo</v>
      </c>
      <c r="K5" s="17" t="str">
        <f>IF(K$4="","",CHOOSE(WEEKDAY(DATE(Setup!$B$8,6,K$4)),"Su","Mo","Tu","We","Th","Fr","Sa"))</f>
        <v>Tu</v>
      </c>
      <c r="L5" s="17" t="str">
        <f>IF(L$4="","",CHOOSE(WEEKDAY(DATE(Setup!$B$8,6,L$4)),"Su","Mo","Tu","We","Th","Fr","Sa"))</f>
        <v>We</v>
      </c>
      <c r="M5" s="17" t="str">
        <f>IF(M$4="","",CHOOSE(WEEKDAY(DATE(Setup!$B$8,6,M$4)),"Su","Mo","Tu","We","Th","Fr","Sa"))</f>
        <v>Th</v>
      </c>
      <c r="N5" s="17" t="str">
        <f>IF(N$4="","",CHOOSE(WEEKDAY(DATE(Setup!$B$8,6,N$4)),"Su","Mo","Tu","We","Th","Fr","Sa"))</f>
        <v>Fr</v>
      </c>
      <c r="O5" s="17" t="str">
        <f>IF(O$4="","",CHOOSE(WEEKDAY(DATE(Setup!$B$8,6,O$4)),"Su","Mo","Tu","We","Th","Fr","Sa"))</f>
        <v>Sa</v>
      </c>
      <c r="P5" s="17" t="str">
        <f>IF(P$4="","",CHOOSE(WEEKDAY(DATE(Setup!$B$8,6,P$4)),"Su","Mo","Tu","We","Th","Fr","Sa"))</f>
        <v>Su</v>
      </c>
      <c r="Q5" s="17" t="str">
        <f>IF(Q$4="","",CHOOSE(WEEKDAY(DATE(Setup!$B$8,6,Q$4)),"Su","Mo","Tu","We","Th","Fr","Sa"))</f>
        <v>Mo</v>
      </c>
      <c r="R5" s="17" t="str">
        <f>IF(R$4="","",CHOOSE(WEEKDAY(DATE(Setup!$B$8,6,R$4)),"Su","Mo","Tu","We","Th","Fr","Sa"))</f>
        <v>Tu</v>
      </c>
      <c r="S5" s="17" t="str">
        <f>IF(S$4="","",CHOOSE(WEEKDAY(DATE(Setup!$B$8,6,S$4)),"Su","Mo","Tu","We","Th","Fr","Sa"))</f>
        <v>We</v>
      </c>
      <c r="T5" s="17" t="str">
        <f>IF(T$4="","",CHOOSE(WEEKDAY(DATE(Setup!$B$8,6,T$4)),"Su","Mo","Tu","We","Th","Fr","Sa"))</f>
        <v>Th</v>
      </c>
      <c r="U5" s="17" t="str">
        <f>IF(U$4="","",CHOOSE(WEEKDAY(DATE(Setup!$B$8,6,U$4)),"Su","Mo","Tu","We","Th","Fr","Sa"))</f>
        <v>Fr</v>
      </c>
      <c r="V5" s="17" t="str">
        <f>IF(V$4="","",CHOOSE(WEEKDAY(DATE(Setup!$B$8,6,V$4)),"Su","Mo","Tu","We","Th","Fr","Sa"))</f>
        <v>Sa</v>
      </c>
      <c r="W5" s="17" t="str">
        <f>IF(W$4="","",CHOOSE(WEEKDAY(DATE(Setup!$B$8,6,W$4)),"Su","Mo","Tu","We","Th","Fr","Sa"))</f>
        <v>Su</v>
      </c>
      <c r="X5" s="17" t="str">
        <f>IF(X$4="","",CHOOSE(WEEKDAY(DATE(Setup!$B$8,6,X$4)),"Su","Mo","Tu","We","Th","Fr","Sa"))</f>
        <v>Mo</v>
      </c>
      <c r="Y5" s="17" t="str">
        <f>IF(Y$4="","",CHOOSE(WEEKDAY(DATE(Setup!$B$8,6,Y$4)),"Su","Mo","Tu","We","Th","Fr","Sa"))</f>
        <v>Tu</v>
      </c>
      <c r="Z5" s="17" t="str">
        <f>IF(Z$4="","",CHOOSE(WEEKDAY(DATE(Setup!$B$8,6,Z$4)),"Su","Mo","Tu","We","Th","Fr","Sa"))</f>
        <v>We</v>
      </c>
      <c r="AA5" s="17" t="str">
        <f>IF(AA$4="","",CHOOSE(WEEKDAY(DATE(Setup!$B$8,6,AA$4)),"Su","Mo","Tu","We","Th","Fr","Sa"))</f>
        <v>Th</v>
      </c>
      <c r="AB5" s="17" t="str">
        <f>IF(AB$4="","",CHOOSE(WEEKDAY(DATE(Setup!$B$8,6,AB$4)),"Su","Mo","Tu","We","Th","Fr","Sa"))</f>
        <v>Fr</v>
      </c>
      <c r="AC5" s="17" t="str">
        <f>IF(AC$4="","",CHOOSE(WEEKDAY(DATE(Setup!$B$8,6,AC$4)),"Su","Mo","Tu","We","Th","Fr","Sa"))</f>
        <v>Sa</v>
      </c>
      <c r="AD5" s="17" t="str">
        <f>IF(AD$4="","",CHOOSE(WEEKDAY(DATE(Setup!$B$8,6,AD$4)),"Su","Mo","Tu","We","Th","Fr","Sa"))</f>
        <v>Su</v>
      </c>
      <c r="AE5" s="17" t="str">
        <f>IF(AE$4="","",CHOOSE(WEEKDAY(DATE(Setup!$B$8,6,AE$4)),"Su","Mo","Tu","We","Th","Fr","Sa"))</f>
        <v>Mo</v>
      </c>
      <c r="AF5" s="17" t="str">
        <f>IF(AF$4="","",CHOOSE(WEEKDAY(DATE(Setup!$B$8,6,AF$4)),"Su","Mo","Tu","We","Th","Fr","Sa"))</f>
        <v>Tu</v>
      </c>
      <c r="AG5" s="17" t="str">
        <f>IF(AG$4="","",CHOOSE(WEEKDAY(DATE(Setup!$B$8,6,AG$4)),"Su","Mo","Tu","We","Th","Fr","Sa"))</f>
        <v/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>
        <f>IF(AE$4="","",COUNTIF(AE6:AE55,"P"))</f>
        <v>0</v>
      </c>
      <c r="AF56" s="24">
        <f>IF(AF$4="","",COUNTIF(AF6:AF55,"P"))</f>
        <v>0</v>
      </c>
      <c r="AG56" s="24" t="str">
        <f>IF(AG$4="","",COUNTIF(AG6:AG55,"P"))</f>
        <v/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>
        <f>IF(AE$4="","",COUNTIF(AE6:AE55,"A")+COUNTIF(AE6:AE55,"L"))</f>
        <v>0</v>
      </c>
      <c r="AF57" s="24">
        <f>IF(AF$4="","",COUNTIF(AF6:AF55,"A")+COUNTIF(AF6:AF55,"L"))</f>
        <v>0</v>
      </c>
      <c r="AG57" s="24" t="str">
        <f>IF(AG$4="","",COUNTIF(AG6:AG55,"A")+COUNTIF(AG6:AG55,"L"))</f>
        <v/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12" priority="1">
      <formula>C$4=""</formula>
    </cfRule>
  </conditionalFormatting>
  <conditionalFormatting sqref="C6:AG55">
    <cfRule type="expression" dxfId="13" priority="2">
      <formula>C6="A"</formula>
    </cfRule>
    <cfRule type="expression" dxfId="14" priority="3">
      <formula>C6="L"</formula>
    </cfRule>
    <cfRule type="expression" dxfId="15" priority="4">
      <formula>C6="H"</formula>
    </cfRule>
    <cfRule type="expression" dxfId="16" priority="5">
      <formula>C$5="Su"</formula>
    </cfRule>
  </conditionalFormatting>
  <conditionalFormatting sqref="AL6:AL55">
    <cfRule type="expression" dxfId="17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July "&amp;Setup!$B$8&amp;"   ·   Class teacher: "&amp;Setup!$B$7</f>
        <v>Class VII A   ·   July 2026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IF(1&lt;=DAY(DATE(Setup!$B$8,7+1,0)),1,"")</f>
        <v>1</v>
      </c>
      <c r="D4" s="10">
        <f>IF(2&lt;=DAY(DATE(Setup!$B$8,7+1,0)),2,"")</f>
        <v>2</v>
      </c>
      <c r="E4" s="10">
        <f>IF(3&lt;=DAY(DATE(Setup!$B$8,7+1,0)),3,"")</f>
        <v>3</v>
      </c>
      <c r="F4" s="10">
        <f>IF(4&lt;=DAY(DATE(Setup!$B$8,7+1,0)),4,"")</f>
        <v>4</v>
      </c>
      <c r="G4" s="10">
        <f>IF(5&lt;=DAY(DATE(Setup!$B$8,7+1,0)),5,"")</f>
        <v>5</v>
      </c>
      <c r="H4" s="10">
        <f>IF(6&lt;=DAY(DATE(Setup!$B$8,7+1,0)),6,"")</f>
        <v>6</v>
      </c>
      <c r="I4" s="10">
        <f>IF(7&lt;=DAY(DATE(Setup!$B$8,7+1,0)),7,"")</f>
        <v>7</v>
      </c>
      <c r="J4" s="10">
        <f>IF(8&lt;=DAY(DATE(Setup!$B$8,7+1,0)),8,"")</f>
        <v>8</v>
      </c>
      <c r="K4" s="10">
        <f>IF(9&lt;=DAY(DATE(Setup!$B$8,7+1,0)),9,"")</f>
        <v>9</v>
      </c>
      <c r="L4" s="10">
        <f>IF(10&lt;=DAY(DATE(Setup!$B$8,7+1,0)),10,"")</f>
        <v>10</v>
      </c>
      <c r="M4" s="10">
        <f>IF(11&lt;=DAY(DATE(Setup!$B$8,7+1,0)),11,"")</f>
        <v>11</v>
      </c>
      <c r="N4" s="10">
        <f>IF(12&lt;=DAY(DATE(Setup!$B$8,7+1,0)),12,"")</f>
        <v>12</v>
      </c>
      <c r="O4" s="10">
        <f>IF(13&lt;=DAY(DATE(Setup!$B$8,7+1,0)),13,"")</f>
        <v>13</v>
      </c>
      <c r="P4" s="10">
        <f>IF(14&lt;=DAY(DATE(Setup!$B$8,7+1,0)),14,"")</f>
        <v>14</v>
      </c>
      <c r="Q4" s="10">
        <f>IF(15&lt;=DAY(DATE(Setup!$B$8,7+1,0)),15,"")</f>
        <v>15</v>
      </c>
      <c r="R4" s="10">
        <f>IF(16&lt;=DAY(DATE(Setup!$B$8,7+1,0)),16,"")</f>
        <v>16</v>
      </c>
      <c r="S4" s="10">
        <f>IF(17&lt;=DAY(DATE(Setup!$B$8,7+1,0)),17,"")</f>
        <v>17</v>
      </c>
      <c r="T4" s="10">
        <f>IF(18&lt;=DAY(DATE(Setup!$B$8,7+1,0)),18,"")</f>
        <v>18</v>
      </c>
      <c r="U4" s="10">
        <f>IF(19&lt;=DAY(DATE(Setup!$B$8,7+1,0)),19,"")</f>
        <v>19</v>
      </c>
      <c r="V4" s="10">
        <f>IF(20&lt;=DAY(DATE(Setup!$B$8,7+1,0)),20,"")</f>
        <v>20</v>
      </c>
      <c r="W4" s="10">
        <f>IF(21&lt;=DAY(DATE(Setup!$B$8,7+1,0)),21,"")</f>
        <v>21</v>
      </c>
      <c r="X4" s="10">
        <f>IF(22&lt;=DAY(DATE(Setup!$B$8,7+1,0)),22,"")</f>
        <v>22</v>
      </c>
      <c r="Y4" s="10">
        <f>IF(23&lt;=DAY(DATE(Setup!$B$8,7+1,0)),23,"")</f>
        <v>23</v>
      </c>
      <c r="Z4" s="10">
        <f>IF(24&lt;=DAY(DATE(Setup!$B$8,7+1,0)),24,"")</f>
        <v>24</v>
      </c>
      <c r="AA4" s="10">
        <f>IF(25&lt;=DAY(DATE(Setup!$B$8,7+1,0)),25,"")</f>
        <v>25</v>
      </c>
      <c r="AB4" s="10">
        <f>IF(26&lt;=DAY(DATE(Setup!$B$8,7+1,0)),26,"")</f>
        <v>26</v>
      </c>
      <c r="AC4" s="10">
        <f>IF(27&lt;=DAY(DATE(Setup!$B$8,7+1,0)),27,"")</f>
        <v>27</v>
      </c>
      <c r="AD4" s="10">
        <f>IF(28&lt;=DAY(DATE(Setup!$B$8,7+1,0)),28,"")</f>
        <v>28</v>
      </c>
      <c r="AE4" s="10">
        <f>IF(29&lt;=DAY(DATE(Setup!$B$8,7+1,0)),29,"")</f>
        <v>29</v>
      </c>
      <c r="AF4" s="10">
        <f>IF(30&lt;=DAY(DATE(Setup!$B$8,7+1,0)),30,"")</f>
        <v>30</v>
      </c>
      <c r="AG4" s="10">
        <f>IF(31&lt;=DAY(DATE(Setup!$B$8,7+1,0)),31,"")</f>
        <v>31</v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IF(C$4="","",CHOOSE(WEEKDAY(DATE(Setup!$B$8,7,C$4)),"Su","Mo","Tu","We","Th","Fr","Sa"))</f>
        <v>We</v>
      </c>
      <c r="D5" s="17" t="str">
        <f>IF(D$4="","",CHOOSE(WEEKDAY(DATE(Setup!$B$8,7,D$4)),"Su","Mo","Tu","We","Th","Fr","Sa"))</f>
        <v>Th</v>
      </c>
      <c r="E5" s="17" t="str">
        <f>IF(E$4="","",CHOOSE(WEEKDAY(DATE(Setup!$B$8,7,E$4)),"Su","Mo","Tu","We","Th","Fr","Sa"))</f>
        <v>Fr</v>
      </c>
      <c r="F5" s="17" t="str">
        <f>IF(F$4="","",CHOOSE(WEEKDAY(DATE(Setup!$B$8,7,F$4)),"Su","Mo","Tu","We","Th","Fr","Sa"))</f>
        <v>Sa</v>
      </c>
      <c r="G5" s="17" t="str">
        <f>IF(G$4="","",CHOOSE(WEEKDAY(DATE(Setup!$B$8,7,G$4)),"Su","Mo","Tu","We","Th","Fr","Sa"))</f>
        <v>Su</v>
      </c>
      <c r="H5" s="17" t="str">
        <f>IF(H$4="","",CHOOSE(WEEKDAY(DATE(Setup!$B$8,7,H$4)),"Su","Mo","Tu","We","Th","Fr","Sa"))</f>
        <v>Mo</v>
      </c>
      <c r="I5" s="17" t="str">
        <f>IF(I$4="","",CHOOSE(WEEKDAY(DATE(Setup!$B$8,7,I$4)),"Su","Mo","Tu","We","Th","Fr","Sa"))</f>
        <v>Tu</v>
      </c>
      <c r="J5" s="17" t="str">
        <f>IF(J$4="","",CHOOSE(WEEKDAY(DATE(Setup!$B$8,7,J$4)),"Su","Mo","Tu","We","Th","Fr","Sa"))</f>
        <v>We</v>
      </c>
      <c r="K5" s="17" t="str">
        <f>IF(K$4="","",CHOOSE(WEEKDAY(DATE(Setup!$B$8,7,K$4)),"Su","Mo","Tu","We","Th","Fr","Sa"))</f>
        <v>Th</v>
      </c>
      <c r="L5" s="17" t="str">
        <f>IF(L$4="","",CHOOSE(WEEKDAY(DATE(Setup!$B$8,7,L$4)),"Su","Mo","Tu","We","Th","Fr","Sa"))</f>
        <v>Fr</v>
      </c>
      <c r="M5" s="17" t="str">
        <f>IF(M$4="","",CHOOSE(WEEKDAY(DATE(Setup!$B$8,7,M$4)),"Su","Mo","Tu","We","Th","Fr","Sa"))</f>
        <v>Sa</v>
      </c>
      <c r="N5" s="17" t="str">
        <f>IF(N$4="","",CHOOSE(WEEKDAY(DATE(Setup!$B$8,7,N$4)),"Su","Mo","Tu","We","Th","Fr","Sa"))</f>
        <v>Su</v>
      </c>
      <c r="O5" s="17" t="str">
        <f>IF(O$4="","",CHOOSE(WEEKDAY(DATE(Setup!$B$8,7,O$4)),"Su","Mo","Tu","We","Th","Fr","Sa"))</f>
        <v>Mo</v>
      </c>
      <c r="P5" s="17" t="str">
        <f>IF(P$4="","",CHOOSE(WEEKDAY(DATE(Setup!$B$8,7,P$4)),"Su","Mo","Tu","We","Th","Fr","Sa"))</f>
        <v>Tu</v>
      </c>
      <c r="Q5" s="17" t="str">
        <f>IF(Q$4="","",CHOOSE(WEEKDAY(DATE(Setup!$B$8,7,Q$4)),"Su","Mo","Tu","We","Th","Fr","Sa"))</f>
        <v>We</v>
      </c>
      <c r="R5" s="17" t="str">
        <f>IF(R$4="","",CHOOSE(WEEKDAY(DATE(Setup!$B$8,7,R$4)),"Su","Mo","Tu","We","Th","Fr","Sa"))</f>
        <v>Th</v>
      </c>
      <c r="S5" s="17" t="str">
        <f>IF(S$4="","",CHOOSE(WEEKDAY(DATE(Setup!$B$8,7,S$4)),"Su","Mo","Tu","We","Th","Fr","Sa"))</f>
        <v>Fr</v>
      </c>
      <c r="T5" s="17" t="str">
        <f>IF(T$4="","",CHOOSE(WEEKDAY(DATE(Setup!$B$8,7,T$4)),"Su","Mo","Tu","We","Th","Fr","Sa"))</f>
        <v>Sa</v>
      </c>
      <c r="U5" s="17" t="str">
        <f>IF(U$4="","",CHOOSE(WEEKDAY(DATE(Setup!$B$8,7,U$4)),"Su","Mo","Tu","We","Th","Fr","Sa"))</f>
        <v>Su</v>
      </c>
      <c r="V5" s="17" t="str">
        <f>IF(V$4="","",CHOOSE(WEEKDAY(DATE(Setup!$B$8,7,V$4)),"Su","Mo","Tu","We","Th","Fr","Sa"))</f>
        <v>Mo</v>
      </c>
      <c r="W5" s="17" t="str">
        <f>IF(W$4="","",CHOOSE(WEEKDAY(DATE(Setup!$B$8,7,W$4)),"Su","Mo","Tu","We","Th","Fr","Sa"))</f>
        <v>Tu</v>
      </c>
      <c r="X5" s="17" t="str">
        <f>IF(X$4="","",CHOOSE(WEEKDAY(DATE(Setup!$B$8,7,X$4)),"Su","Mo","Tu","We","Th","Fr","Sa"))</f>
        <v>We</v>
      </c>
      <c r="Y5" s="17" t="str">
        <f>IF(Y$4="","",CHOOSE(WEEKDAY(DATE(Setup!$B$8,7,Y$4)),"Su","Mo","Tu","We","Th","Fr","Sa"))</f>
        <v>Th</v>
      </c>
      <c r="Z5" s="17" t="str">
        <f>IF(Z$4="","",CHOOSE(WEEKDAY(DATE(Setup!$B$8,7,Z$4)),"Su","Mo","Tu","We","Th","Fr","Sa"))</f>
        <v>Fr</v>
      </c>
      <c r="AA5" s="17" t="str">
        <f>IF(AA$4="","",CHOOSE(WEEKDAY(DATE(Setup!$B$8,7,AA$4)),"Su","Mo","Tu","We","Th","Fr","Sa"))</f>
        <v>Sa</v>
      </c>
      <c r="AB5" s="17" t="str">
        <f>IF(AB$4="","",CHOOSE(WEEKDAY(DATE(Setup!$B$8,7,AB$4)),"Su","Mo","Tu","We","Th","Fr","Sa"))</f>
        <v>Su</v>
      </c>
      <c r="AC5" s="17" t="str">
        <f>IF(AC$4="","",CHOOSE(WEEKDAY(DATE(Setup!$B$8,7,AC$4)),"Su","Mo","Tu","We","Th","Fr","Sa"))</f>
        <v>Mo</v>
      </c>
      <c r="AD5" s="17" t="str">
        <f>IF(AD$4="","",CHOOSE(WEEKDAY(DATE(Setup!$B$8,7,AD$4)),"Su","Mo","Tu","We","Th","Fr","Sa"))</f>
        <v>Tu</v>
      </c>
      <c r="AE5" s="17" t="str">
        <f>IF(AE$4="","",CHOOSE(WEEKDAY(DATE(Setup!$B$8,7,AE$4)),"Su","Mo","Tu","We","Th","Fr","Sa"))</f>
        <v>We</v>
      </c>
      <c r="AF5" s="17" t="str">
        <f>IF(AF$4="","",CHOOSE(WEEKDAY(DATE(Setup!$B$8,7,AF$4)),"Su","Mo","Tu","We","Th","Fr","Sa"))</f>
        <v>Th</v>
      </c>
      <c r="AG5" s="17" t="str">
        <f>IF(AG$4="","",CHOOSE(WEEKDAY(DATE(Setup!$B$8,7,AG$4)),"Su","Mo","Tu","We","Th","Fr","Sa"))</f>
        <v>Fr</v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>
        <f>IF(AE$4="","",COUNTIF(AE6:AE55,"P"))</f>
        <v>0</v>
      </c>
      <c r="AF56" s="24">
        <f>IF(AF$4="","",COUNTIF(AF6:AF55,"P"))</f>
        <v>0</v>
      </c>
      <c r="AG56" s="24">
        <f>IF(AG$4="","",COUNTIF(AG6:AG55,"P"))</f>
        <v>0</v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>
        <f>IF(AE$4="","",COUNTIF(AE6:AE55,"A")+COUNTIF(AE6:AE55,"L"))</f>
        <v>0</v>
      </c>
      <c r="AF57" s="24">
        <f>IF(AF$4="","",COUNTIF(AF6:AF55,"A")+COUNTIF(AF6:AF55,"L"))</f>
        <v>0</v>
      </c>
      <c r="AG57" s="24">
        <f>IF(AG$4="","",COUNTIF(AG6:AG55,"A")+COUNTIF(AG6:AG55,"L"))</f>
        <v>0</v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18" priority="1">
      <formula>C$4=""</formula>
    </cfRule>
  </conditionalFormatting>
  <conditionalFormatting sqref="C6:AG55">
    <cfRule type="expression" dxfId="19" priority="2">
      <formula>C6="A"</formula>
    </cfRule>
    <cfRule type="expression" dxfId="20" priority="3">
      <formula>C6="L"</formula>
    </cfRule>
    <cfRule type="expression" dxfId="21" priority="4">
      <formula>C6="H"</formula>
    </cfRule>
    <cfRule type="expression" dxfId="22" priority="5">
      <formula>C$5="Su"</formula>
    </cfRule>
  </conditionalFormatting>
  <conditionalFormatting sqref="AL6:AL55">
    <cfRule type="expression" dxfId="23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August "&amp;Setup!$B$8&amp;"   ·   Class teacher: "&amp;Setup!$B$7</f>
        <v>Class VII A   ·   August 2026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IF(1&lt;=DAY(DATE(Setup!$B$8,8+1,0)),1,"")</f>
        <v>1</v>
      </c>
      <c r="D4" s="10">
        <f>IF(2&lt;=DAY(DATE(Setup!$B$8,8+1,0)),2,"")</f>
        <v>2</v>
      </c>
      <c r="E4" s="10">
        <f>IF(3&lt;=DAY(DATE(Setup!$B$8,8+1,0)),3,"")</f>
        <v>3</v>
      </c>
      <c r="F4" s="10">
        <f>IF(4&lt;=DAY(DATE(Setup!$B$8,8+1,0)),4,"")</f>
        <v>4</v>
      </c>
      <c r="G4" s="10">
        <f>IF(5&lt;=DAY(DATE(Setup!$B$8,8+1,0)),5,"")</f>
        <v>5</v>
      </c>
      <c r="H4" s="10">
        <f>IF(6&lt;=DAY(DATE(Setup!$B$8,8+1,0)),6,"")</f>
        <v>6</v>
      </c>
      <c r="I4" s="10">
        <f>IF(7&lt;=DAY(DATE(Setup!$B$8,8+1,0)),7,"")</f>
        <v>7</v>
      </c>
      <c r="J4" s="10">
        <f>IF(8&lt;=DAY(DATE(Setup!$B$8,8+1,0)),8,"")</f>
        <v>8</v>
      </c>
      <c r="K4" s="10">
        <f>IF(9&lt;=DAY(DATE(Setup!$B$8,8+1,0)),9,"")</f>
        <v>9</v>
      </c>
      <c r="L4" s="10">
        <f>IF(10&lt;=DAY(DATE(Setup!$B$8,8+1,0)),10,"")</f>
        <v>10</v>
      </c>
      <c r="M4" s="10">
        <f>IF(11&lt;=DAY(DATE(Setup!$B$8,8+1,0)),11,"")</f>
        <v>11</v>
      </c>
      <c r="N4" s="10">
        <f>IF(12&lt;=DAY(DATE(Setup!$B$8,8+1,0)),12,"")</f>
        <v>12</v>
      </c>
      <c r="O4" s="10">
        <f>IF(13&lt;=DAY(DATE(Setup!$B$8,8+1,0)),13,"")</f>
        <v>13</v>
      </c>
      <c r="P4" s="10">
        <f>IF(14&lt;=DAY(DATE(Setup!$B$8,8+1,0)),14,"")</f>
        <v>14</v>
      </c>
      <c r="Q4" s="10">
        <f>IF(15&lt;=DAY(DATE(Setup!$B$8,8+1,0)),15,"")</f>
        <v>15</v>
      </c>
      <c r="R4" s="10">
        <f>IF(16&lt;=DAY(DATE(Setup!$B$8,8+1,0)),16,"")</f>
        <v>16</v>
      </c>
      <c r="S4" s="10">
        <f>IF(17&lt;=DAY(DATE(Setup!$B$8,8+1,0)),17,"")</f>
        <v>17</v>
      </c>
      <c r="T4" s="10">
        <f>IF(18&lt;=DAY(DATE(Setup!$B$8,8+1,0)),18,"")</f>
        <v>18</v>
      </c>
      <c r="U4" s="10">
        <f>IF(19&lt;=DAY(DATE(Setup!$B$8,8+1,0)),19,"")</f>
        <v>19</v>
      </c>
      <c r="V4" s="10">
        <f>IF(20&lt;=DAY(DATE(Setup!$B$8,8+1,0)),20,"")</f>
        <v>20</v>
      </c>
      <c r="W4" s="10">
        <f>IF(21&lt;=DAY(DATE(Setup!$B$8,8+1,0)),21,"")</f>
        <v>21</v>
      </c>
      <c r="X4" s="10">
        <f>IF(22&lt;=DAY(DATE(Setup!$B$8,8+1,0)),22,"")</f>
        <v>22</v>
      </c>
      <c r="Y4" s="10">
        <f>IF(23&lt;=DAY(DATE(Setup!$B$8,8+1,0)),23,"")</f>
        <v>23</v>
      </c>
      <c r="Z4" s="10">
        <f>IF(24&lt;=DAY(DATE(Setup!$B$8,8+1,0)),24,"")</f>
        <v>24</v>
      </c>
      <c r="AA4" s="10">
        <f>IF(25&lt;=DAY(DATE(Setup!$B$8,8+1,0)),25,"")</f>
        <v>25</v>
      </c>
      <c r="AB4" s="10">
        <f>IF(26&lt;=DAY(DATE(Setup!$B$8,8+1,0)),26,"")</f>
        <v>26</v>
      </c>
      <c r="AC4" s="10">
        <f>IF(27&lt;=DAY(DATE(Setup!$B$8,8+1,0)),27,"")</f>
        <v>27</v>
      </c>
      <c r="AD4" s="10">
        <f>IF(28&lt;=DAY(DATE(Setup!$B$8,8+1,0)),28,"")</f>
        <v>28</v>
      </c>
      <c r="AE4" s="10">
        <f>IF(29&lt;=DAY(DATE(Setup!$B$8,8+1,0)),29,"")</f>
        <v>29</v>
      </c>
      <c r="AF4" s="10">
        <f>IF(30&lt;=DAY(DATE(Setup!$B$8,8+1,0)),30,"")</f>
        <v>30</v>
      </c>
      <c r="AG4" s="10">
        <f>IF(31&lt;=DAY(DATE(Setup!$B$8,8+1,0)),31,"")</f>
        <v>31</v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IF(C$4="","",CHOOSE(WEEKDAY(DATE(Setup!$B$8,8,C$4)),"Su","Mo","Tu","We","Th","Fr","Sa"))</f>
        <v>Sa</v>
      </c>
      <c r="D5" s="17" t="str">
        <f>IF(D$4="","",CHOOSE(WEEKDAY(DATE(Setup!$B$8,8,D$4)),"Su","Mo","Tu","We","Th","Fr","Sa"))</f>
        <v>Su</v>
      </c>
      <c r="E5" s="17" t="str">
        <f>IF(E$4="","",CHOOSE(WEEKDAY(DATE(Setup!$B$8,8,E$4)),"Su","Mo","Tu","We","Th","Fr","Sa"))</f>
        <v>Mo</v>
      </c>
      <c r="F5" s="17" t="str">
        <f>IF(F$4="","",CHOOSE(WEEKDAY(DATE(Setup!$B$8,8,F$4)),"Su","Mo","Tu","We","Th","Fr","Sa"))</f>
        <v>Tu</v>
      </c>
      <c r="G5" s="17" t="str">
        <f>IF(G$4="","",CHOOSE(WEEKDAY(DATE(Setup!$B$8,8,G$4)),"Su","Mo","Tu","We","Th","Fr","Sa"))</f>
        <v>We</v>
      </c>
      <c r="H5" s="17" t="str">
        <f>IF(H$4="","",CHOOSE(WEEKDAY(DATE(Setup!$B$8,8,H$4)),"Su","Mo","Tu","We","Th","Fr","Sa"))</f>
        <v>Th</v>
      </c>
      <c r="I5" s="17" t="str">
        <f>IF(I$4="","",CHOOSE(WEEKDAY(DATE(Setup!$B$8,8,I$4)),"Su","Mo","Tu","We","Th","Fr","Sa"))</f>
        <v>Fr</v>
      </c>
      <c r="J5" s="17" t="str">
        <f>IF(J$4="","",CHOOSE(WEEKDAY(DATE(Setup!$B$8,8,J$4)),"Su","Mo","Tu","We","Th","Fr","Sa"))</f>
        <v>Sa</v>
      </c>
      <c r="K5" s="17" t="str">
        <f>IF(K$4="","",CHOOSE(WEEKDAY(DATE(Setup!$B$8,8,K$4)),"Su","Mo","Tu","We","Th","Fr","Sa"))</f>
        <v>Su</v>
      </c>
      <c r="L5" s="17" t="str">
        <f>IF(L$4="","",CHOOSE(WEEKDAY(DATE(Setup!$B$8,8,L$4)),"Su","Mo","Tu","We","Th","Fr","Sa"))</f>
        <v>Mo</v>
      </c>
      <c r="M5" s="17" t="str">
        <f>IF(M$4="","",CHOOSE(WEEKDAY(DATE(Setup!$B$8,8,M$4)),"Su","Mo","Tu","We","Th","Fr","Sa"))</f>
        <v>Tu</v>
      </c>
      <c r="N5" s="17" t="str">
        <f>IF(N$4="","",CHOOSE(WEEKDAY(DATE(Setup!$B$8,8,N$4)),"Su","Mo","Tu","We","Th","Fr","Sa"))</f>
        <v>We</v>
      </c>
      <c r="O5" s="17" t="str">
        <f>IF(O$4="","",CHOOSE(WEEKDAY(DATE(Setup!$B$8,8,O$4)),"Su","Mo","Tu","We","Th","Fr","Sa"))</f>
        <v>Th</v>
      </c>
      <c r="P5" s="17" t="str">
        <f>IF(P$4="","",CHOOSE(WEEKDAY(DATE(Setup!$B$8,8,P$4)),"Su","Mo","Tu","We","Th","Fr","Sa"))</f>
        <v>Fr</v>
      </c>
      <c r="Q5" s="17" t="str">
        <f>IF(Q$4="","",CHOOSE(WEEKDAY(DATE(Setup!$B$8,8,Q$4)),"Su","Mo","Tu","We","Th","Fr","Sa"))</f>
        <v>Sa</v>
      </c>
      <c r="R5" s="17" t="str">
        <f>IF(R$4="","",CHOOSE(WEEKDAY(DATE(Setup!$B$8,8,R$4)),"Su","Mo","Tu","We","Th","Fr","Sa"))</f>
        <v>Su</v>
      </c>
      <c r="S5" s="17" t="str">
        <f>IF(S$4="","",CHOOSE(WEEKDAY(DATE(Setup!$B$8,8,S$4)),"Su","Mo","Tu","We","Th","Fr","Sa"))</f>
        <v>Mo</v>
      </c>
      <c r="T5" s="17" t="str">
        <f>IF(T$4="","",CHOOSE(WEEKDAY(DATE(Setup!$B$8,8,T$4)),"Su","Mo","Tu","We","Th","Fr","Sa"))</f>
        <v>Tu</v>
      </c>
      <c r="U5" s="17" t="str">
        <f>IF(U$4="","",CHOOSE(WEEKDAY(DATE(Setup!$B$8,8,U$4)),"Su","Mo","Tu","We","Th","Fr","Sa"))</f>
        <v>We</v>
      </c>
      <c r="V5" s="17" t="str">
        <f>IF(V$4="","",CHOOSE(WEEKDAY(DATE(Setup!$B$8,8,V$4)),"Su","Mo","Tu","We","Th","Fr","Sa"))</f>
        <v>Th</v>
      </c>
      <c r="W5" s="17" t="str">
        <f>IF(W$4="","",CHOOSE(WEEKDAY(DATE(Setup!$B$8,8,W$4)),"Su","Mo","Tu","We","Th","Fr","Sa"))</f>
        <v>Fr</v>
      </c>
      <c r="X5" s="17" t="str">
        <f>IF(X$4="","",CHOOSE(WEEKDAY(DATE(Setup!$B$8,8,X$4)),"Su","Mo","Tu","We","Th","Fr","Sa"))</f>
        <v>Sa</v>
      </c>
      <c r="Y5" s="17" t="str">
        <f>IF(Y$4="","",CHOOSE(WEEKDAY(DATE(Setup!$B$8,8,Y$4)),"Su","Mo","Tu","We","Th","Fr","Sa"))</f>
        <v>Su</v>
      </c>
      <c r="Z5" s="17" t="str">
        <f>IF(Z$4="","",CHOOSE(WEEKDAY(DATE(Setup!$B$8,8,Z$4)),"Su","Mo","Tu","We","Th","Fr","Sa"))</f>
        <v>Mo</v>
      </c>
      <c r="AA5" s="17" t="str">
        <f>IF(AA$4="","",CHOOSE(WEEKDAY(DATE(Setup!$B$8,8,AA$4)),"Su","Mo","Tu","We","Th","Fr","Sa"))</f>
        <v>Tu</v>
      </c>
      <c r="AB5" s="17" t="str">
        <f>IF(AB$4="","",CHOOSE(WEEKDAY(DATE(Setup!$B$8,8,AB$4)),"Su","Mo","Tu","We","Th","Fr","Sa"))</f>
        <v>We</v>
      </c>
      <c r="AC5" s="17" t="str">
        <f>IF(AC$4="","",CHOOSE(WEEKDAY(DATE(Setup!$B$8,8,AC$4)),"Su","Mo","Tu","We","Th","Fr","Sa"))</f>
        <v>Th</v>
      </c>
      <c r="AD5" s="17" t="str">
        <f>IF(AD$4="","",CHOOSE(WEEKDAY(DATE(Setup!$B$8,8,AD$4)),"Su","Mo","Tu","We","Th","Fr","Sa"))</f>
        <v>Fr</v>
      </c>
      <c r="AE5" s="17" t="str">
        <f>IF(AE$4="","",CHOOSE(WEEKDAY(DATE(Setup!$B$8,8,AE$4)),"Su","Mo","Tu","We","Th","Fr","Sa"))</f>
        <v>Sa</v>
      </c>
      <c r="AF5" s="17" t="str">
        <f>IF(AF$4="","",CHOOSE(WEEKDAY(DATE(Setup!$B$8,8,AF$4)),"Su","Mo","Tu","We","Th","Fr","Sa"))</f>
        <v>Su</v>
      </c>
      <c r="AG5" s="17" t="str">
        <f>IF(AG$4="","",CHOOSE(WEEKDAY(DATE(Setup!$B$8,8,AG$4)),"Su","Mo","Tu","We","Th","Fr","Sa"))</f>
        <v>Mo</v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>
        <f>IF(AE$4="","",COUNTIF(AE6:AE55,"P"))</f>
        <v>0</v>
      </c>
      <c r="AF56" s="24">
        <f>IF(AF$4="","",COUNTIF(AF6:AF55,"P"))</f>
        <v>0</v>
      </c>
      <c r="AG56" s="24">
        <f>IF(AG$4="","",COUNTIF(AG6:AG55,"P"))</f>
        <v>0</v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>
        <f>IF(AE$4="","",COUNTIF(AE6:AE55,"A")+COUNTIF(AE6:AE55,"L"))</f>
        <v>0</v>
      </c>
      <c r="AF57" s="24">
        <f>IF(AF$4="","",COUNTIF(AF6:AF55,"A")+COUNTIF(AF6:AF55,"L"))</f>
        <v>0</v>
      </c>
      <c r="AG57" s="24">
        <f>IF(AG$4="","",COUNTIF(AG6:AG55,"A")+COUNTIF(AG6:AG55,"L"))</f>
        <v>0</v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24" priority="1">
      <formula>C$4=""</formula>
    </cfRule>
  </conditionalFormatting>
  <conditionalFormatting sqref="C6:AG55">
    <cfRule type="expression" dxfId="25" priority="2">
      <formula>C6="A"</formula>
    </cfRule>
    <cfRule type="expression" dxfId="26" priority="3">
      <formula>C6="L"</formula>
    </cfRule>
    <cfRule type="expression" dxfId="27" priority="4">
      <formula>C6="H"</formula>
    </cfRule>
    <cfRule type="expression" dxfId="28" priority="5">
      <formula>C$5="Su"</formula>
    </cfRule>
  </conditionalFormatting>
  <conditionalFormatting sqref="AL6:AL55">
    <cfRule type="expression" dxfId="29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September "&amp;Setup!$B$8&amp;"   ·   Class teacher: "&amp;Setup!$B$7</f>
        <v>Class VII A   ·   September 2026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IF(1&lt;=DAY(DATE(Setup!$B$8,9+1,0)),1,"")</f>
        <v>1</v>
      </c>
      <c r="D4" s="10">
        <f>IF(2&lt;=DAY(DATE(Setup!$B$8,9+1,0)),2,"")</f>
        <v>2</v>
      </c>
      <c r="E4" s="10">
        <f>IF(3&lt;=DAY(DATE(Setup!$B$8,9+1,0)),3,"")</f>
        <v>3</v>
      </c>
      <c r="F4" s="10">
        <f>IF(4&lt;=DAY(DATE(Setup!$B$8,9+1,0)),4,"")</f>
        <v>4</v>
      </c>
      <c r="G4" s="10">
        <f>IF(5&lt;=DAY(DATE(Setup!$B$8,9+1,0)),5,"")</f>
        <v>5</v>
      </c>
      <c r="H4" s="10">
        <f>IF(6&lt;=DAY(DATE(Setup!$B$8,9+1,0)),6,"")</f>
        <v>6</v>
      </c>
      <c r="I4" s="10">
        <f>IF(7&lt;=DAY(DATE(Setup!$B$8,9+1,0)),7,"")</f>
        <v>7</v>
      </c>
      <c r="J4" s="10">
        <f>IF(8&lt;=DAY(DATE(Setup!$B$8,9+1,0)),8,"")</f>
        <v>8</v>
      </c>
      <c r="K4" s="10">
        <f>IF(9&lt;=DAY(DATE(Setup!$B$8,9+1,0)),9,"")</f>
        <v>9</v>
      </c>
      <c r="L4" s="10">
        <f>IF(10&lt;=DAY(DATE(Setup!$B$8,9+1,0)),10,"")</f>
        <v>10</v>
      </c>
      <c r="M4" s="10">
        <f>IF(11&lt;=DAY(DATE(Setup!$B$8,9+1,0)),11,"")</f>
        <v>11</v>
      </c>
      <c r="N4" s="10">
        <f>IF(12&lt;=DAY(DATE(Setup!$B$8,9+1,0)),12,"")</f>
        <v>12</v>
      </c>
      <c r="O4" s="10">
        <f>IF(13&lt;=DAY(DATE(Setup!$B$8,9+1,0)),13,"")</f>
        <v>13</v>
      </c>
      <c r="P4" s="10">
        <f>IF(14&lt;=DAY(DATE(Setup!$B$8,9+1,0)),14,"")</f>
        <v>14</v>
      </c>
      <c r="Q4" s="10">
        <f>IF(15&lt;=DAY(DATE(Setup!$B$8,9+1,0)),15,"")</f>
        <v>15</v>
      </c>
      <c r="R4" s="10">
        <f>IF(16&lt;=DAY(DATE(Setup!$B$8,9+1,0)),16,"")</f>
        <v>16</v>
      </c>
      <c r="S4" s="10">
        <f>IF(17&lt;=DAY(DATE(Setup!$B$8,9+1,0)),17,"")</f>
        <v>17</v>
      </c>
      <c r="T4" s="10">
        <f>IF(18&lt;=DAY(DATE(Setup!$B$8,9+1,0)),18,"")</f>
        <v>18</v>
      </c>
      <c r="U4" s="10">
        <f>IF(19&lt;=DAY(DATE(Setup!$B$8,9+1,0)),19,"")</f>
        <v>19</v>
      </c>
      <c r="V4" s="10">
        <f>IF(20&lt;=DAY(DATE(Setup!$B$8,9+1,0)),20,"")</f>
        <v>20</v>
      </c>
      <c r="W4" s="10">
        <f>IF(21&lt;=DAY(DATE(Setup!$B$8,9+1,0)),21,"")</f>
        <v>21</v>
      </c>
      <c r="X4" s="10">
        <f>IF(22&lt;=DAY(DATE(Setup!$B$8,9+1,0)),22,"")</f>
        <v>22</v>
      </c>
      <c r="Y4" s="10">
        <f>IF(23&lt;=DAY(DATE(Setup!$B$8,9+1,0)),23,"")</f>
        <v>23</v>
      </c>
      <c r="Z4" s="10">
        <f>IF(24&lt;=DAY(DATE(Setup!$B$8,9+1,0)),24,"")</f>
        <v>24</v>
      </c>
      <c r="AA4" s="10">
        <f>IF(25&lt;=DAY(DATE(Setup!$B$8,9+1,0)),25,"")</f>
        <v>25</v>
      </c>
      <c r="AB4" s="10">
        <f>IF(26&lt;=DAY(DATE(Setup!$B$8,9+1,0)),26,"")</f>
        <v>26</v>
      </c>
      <c r="AC4" s="10">
        <f>IF(27&lt;=DAY(DATE(Setup!$B$8,9+1,0)),27,"")</f>
        <v>27</v>
      </c>
      <c r="AD4" s="10">
        <f>IF(28&lt;=DAY(DATE(Setup!$B$8,9+1,0)),28,"")</f>
        <v>28</v>
      </c>
      <c r="AE4" s="10">
        <f>IF(29&lt;=DAY(DATE(Setup!$B$8,9+1,0)),29,"")</f>
        <v>29</v>
      </c>
      <c r="AF4" s="10">
        <f>IF(30&lt;=DAY(DATE(Setup!$B$8,9+1,0)),30,"")</f>
        <v>30</v>
      </c>
      <c r="AG4" s="10" t="str">
        <f>IF(31&lt;=DAY(DATE(Setup!$B$8,9+1,0)),31,"")</f>
        <v/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IF(C$4="","",CHOOSE(WEEKDAY(DATE(Setup!$B$8,9,C$4)),"Su","Mo","Tu","We","Th","Fr","Sa"))</f>
        <v>Tu</v>
      </c>
      <c r="D5" s="17" t="str">
        <f>IF(D$4="","",CHOOSE(WEEKDAY(DATE(Setup!$B$8,9,D$4)),"Su","Mo","Tu","We","Th","Fr","Sa"))</f>
        <v>We</v>
      </c>
      <c r="E5" s="17" t="str">
        <f>IF(E$4="","",CHOOSE(WEEKDAY(DATE(Setup!$B$8,9,E$4)),"Su","Mo","Tu","We","Th","Fr","Sa"))</f>
        <v>Th</v>
      </c>
      <c r="F5" s="17" t="str">
        <f>IF(F$4="","",CHOOSE(WEEKDAY(DATE(Setup!$B$8,9,F$4)),"Su","Mo","Tu","We","Th","Fr","Sa"))</f>
        <v>Fr</v>
      </c>
      <c r="G5" s="17" t="str">
        <f>IF(G$4="","",CHOOSE(WEEKDAY(DATE(Setup!$B$8,9,G$4)),"Su","Mo","Tu","We","Th","Fr","Sa"))</f>
        <v>Sa</v>
      </c>
      <c r="H5" s="17" t="str">
        <f>IF(H$4="","",CHOOSE(WEEKDAY(DATE(Setup!$B$8,9,H$4)),"Su","Mo","Tu","We","Th","Fr","Sa"))</f>
        <v>Su</v>
      </c>
      <c r="I5" s="17" t="str">
        <f>IF(I$4="","",CHOOSE(WEEKDAY(DATE(Setup!$B$8,9,I$4)),"Su","Mo","Tu","We","Th","Fr","Sa"))</f>
        <v>Mo</v>
      </c>
      <c r="J5" s="17" t="str">
        <f>IF(J$4="","",CHOOSE(WEEKDAY(DATE(Setup!$B$8,9,J$4)),"Su","Mo","Tu","We","Th","Fr","Sa"))</f>
        <v>Tu</v>
      </c>
      <c r="K5" s="17" t="str">
        <f>IF(K$4="","",CHOOSE(WEEKDAY(DATE(Setup!$B$8,9,K$4)),"Su","Mo","Tu","We","Th","Fr","Sa"))</f>
        <v>We</v>
      </c>
      <c r="L5" s="17" t="str">
        <f>IF(L$4="","",CHOOSE(WEEKDAY(DATE(Setup!$B$8,9,L$4)),"Su","Mo","Tu","We","Th","Fr","Sa"))</f>
        <v>Th</v>
      </c>
      <c r="M5" s="17" t="str">
        <f>IF(M$4="","",CHOOSE(WEEKDAY(DATE(Setup!$B$8,9,M$4)),"Su","Mo","Tu","We","Th","Fr","Sa"))</f>
        <v>Fr</v>
      </c>
      <c r="N5" s="17" t="str">
        <f>IF(N$4="","",CHOOSE(WEEKDAY(DATE(Setup!$B$8,9,N$4)),"Su","Mo","Tu","We","Th","Fr","Sa"))</f>
        <v>Sa</v>
      </c>
      <c r="O5" s="17" t="str">
        <f>IF(O$4="","",CHOOSE(WEEKDAY(DATE(Setup!$B$8,9,O$4)),"Su","Mo","Tu","We","Th","Fr","Sa"))</f>
        <v>Su</v>
      </c>
      <c r="P5" s="17" t="str">
        <f>IF(P$4="","",CHOOSE(WEEKDAY(DATE(Setup!$B$8,9,P$4)),"Su","Mo","Tu","We","Th","Fr","Sa"))</f>
        <v>Mo</v>
      </c>
      <c r="Q5" s="17" t="str">
        <f>IF(Q$4="","",CHOOSE(WEEKDAY(DATE(Setup!$B$8,9,Q$4)),"Su","Mo","Tu","We","Th","Fr","Sa"))</f>
        <v>Tu</v>
      </c>
      <c r="R5" s="17" t="str">
        <f>IF(R$4="","",CHOOSE(WEEKDAY(DATE(Setup!$B$8,9,R$4)),"Su","Mo","Tu","We","Th","Fr","Sa"))</f>
        <v>We</v>
      </c>
      <c r="S5" s="17" t="str">
        <f>IF(S$4="","",CHOOSE(WEEKDAY(DATE(Setup!$B$8,9,S$4)),"Su","Mo","Tu","We","Th","Fr","Sa"))</f>
        <v>Th</v>
      </c>
      <c r="T5" s="17" t="str">
        <f>IF(T$4="","",CHOOSE(WEEKDAY(DATE(Setup!$B$8,9,T$4)),"Su","Mo","Tu","We","Th","Fr","Sa"))</f>
        <v>Fr</v>
      </c>
      <c r="U5" s="17" t="str">
        <f>IF(U$4="","",CHOOSE(WEEKDAY(DATE(Setup!$B$8,9,U$4)),"Su","Mo","Tu","We","Th","Fr","Sa"))</f>
        <v>Sa</v>
      </c>
      <c r="V5" s="17" t="str">
        <f>IF(V$4="","",CHOOSE(WEEKDAY(DATE(Setup!$B$8,9,V$4)),"Su","Mo","Tu","We","Th","Fr","Sa"))</f>
        <v>Su</v>
      </c>
      <c r="W5" s="17" t="str">
        <f>IF(W$4="","",CHOOSE(WEEKDAY(DATE(Setup!$B$8,9,W$4)),"Su","Mo","Tu","We","Th","Fr","Sa"))</f>
        <v>Mo</v>
      </c>
      <c r="X5" s="17" t="str">
        <f>IF(X$4="","",CHOOSE(WEEKDAY(DATE(Setup!$B$8,9,X$4)),"Su","Mo","Tu","We","Th","Fr","Sa"))</f>
        <v>Tu</v>
      </c>
      <c r="Y5" s="17" t="str">
        <f>IF(Y$4="","",CHOOSE(WEEKDAY(DATE(Setup!$B$8,9,Y$4)),"Su","Mo","Tu","We","Th","Fr","Sa"))</f>
        <v>We</v>
      </c>
      <c r="Z5" s="17" t="str">
        <f>IF(Z$4="","",CHOOSE(WEEKDAY(DATE(Setup!$B$8,9,Z$4)),"Su","Mo","Tu","We","Th","Fr","Sa"))</f>
        <v>Th</v>
      </c>
      <c r="AA5" s="17" t="str">
        <f>IF(AA$4="","",CHOOSE(WEEKDAY(DATE(Setup!$B$8,9,AA$4)),"Su","Mo","Tu","We","Th","Fr","Sa"))</f>
        <v>Fr</v>
      </c>
      <c r="AB5" s="17" t="str">
        <f>IF(AB$4="","",CHOOSE(WEEKDAY(DATE(Setup!$B$8,9,AB$4)),"Su","Mo","Tu","We","Th","Fr","Sa"))</f>
        <v>Sa</v>
      </c>
      <c r="AC5" s="17" t="str">
        <f>IF(AC$4="","",CHOOSE(WEEKDAY(DATE(Setup!$B$8,9,AC$4)),"Su","Mo","Tu","We","Th","Fr","Sa"))</f>
        <v>Su</v>
      </c>
      <c r="AD5" s="17" t="str">
        <f>IF(AD$4="","",CHOOSE(WEEKDAY(DATE(Setup!$B$8,9,AD$4)),"Su","Mo","Tu","We","Th","Fr","Sa"))</f>
        <v>Mo</v>
      </c>
      <c r="AE5" s="17" t="str">
        <f>IF(AE$4="","",CHOOSE(WEEKDAY(DATE(Setup!$B$8,9,AE$4)),"Su","Mo","Tu","We","Th","Fr","Sa"))</f>
        <v>Tu</v>
      </c>
      <c r="AF5" s="17" t="str">
        <f>IF(AF$4="","",CHOOSE(WEEKDAY(DATE(Setup!$B$8,9,AF$4)),"Su","Mo","Tu","We","Th","Fr","Sa"))</f>
        <v>We</v>
      </c>
      <c r="AG5" s="17" t="str">
        <f>IF(AG$4="","",CHOOSE(WEEKDAY(DATE(Setup!$B$8,9,AG$4)),"Su","Mo","Tu","We","Th","Fr","Sa"))</f>
        <v/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>
        <f>IF(AE$4="","",COUNTIF(AE6:AE55,"P"))</f>
        <v>0</v>
      </c>
      <c r="AF56" s="24">
        <f>IF(AF$4="","",COUNTIF(AF6:AF55,"P"))</f>
        <v>0</v>
      </c>
      <c r="AG56" s="24" t="str">
        <f>IF(AG$4="","",COUNTIF(AG6:AG55,"P"))</f>
        <v/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>
        <f>IF(AE$4="","",COUNTIF(AE6:AE55,"A")+COUNTIF(AE6:AE55,"L"))</f>
        <v>0</v>
      </c>
      <c r="AF57" s="24">
        <f>IF(AF$4="","",COUNTIF(AF6:AF55,"A")+COUNTIF(AF6:AF55,"L"))</f>
        <v>0</v>
      </c>
      <c r="AG57" s="24" t="str">
        <f>IF(AG$4="","",COUNTIF(AG6:AG55,"A")+COUNTIF(AG6:AG55,"L"))</f>
        <v/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30" priority="1">
      <formula>C$4=""</formula>
    </cfRule>
  </conditionalFormatting>
  <conditionalFormatting sqref="C6:AG55">
    <cfRule type="expression" dxfId="31" priority="2">
      <formula>C6="A"</formula>
    </cfRule>
    <cfRule type="expression" dxfId="32" priority="3">
      <formula>C6="L"</formula>
    </cfRule>
    <cfRule type="expression" dxfId="33" priority="4">
      <formula>C6="H"</formula>
    </cfRule>
    <cfRule type="expression" dxfId="34" priority="5">
      <formula>C$5="Su"</formula>
    </cfRule>
  </conditionalFormatting>
  <conditionalFormatting sqref="AL6:AL55">
    <cfRule type="expression" dxfId="35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October "&amp;Setup!$B$8&amp;"   ·   Class teacher: "&amp;Setup!$B$7</f>
        <v>Class VII A   ·   October 2026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IF(1&lt;=DAY(DATE(Setup!$B$8,10+1,0)),1,"")</f>
        <v>1</v>
      </c>
      <c r="D4" s="10">
        <f>IF(2&lt;=DAY(DATE(Setup!$B$8,10+1,0)),2,"")</f>
        <v>2</v>
      </c>
      <c r="E4" s="10">
        <f>IF(3&lt;=DAY(DATE(Setup!$B$8,10+1,0)),3,"")</f>
        <v>3</v>
      </c>
      <c r="F4" s="10">
        <f>IF(4&lt;=DAY(DATE(Setup!$B$8,10+1,0)),4,"")</f>
        <v>4</v>
      </c>
      <c r="G4" s="10">
        <f>IF(5&lt;=DAY(DATE(Setup!$B$8,10+1,0)),5,"")</f>
        <v>5</v>
      </c>
      <c r="H4" s="10">
        <f>IF(6&lt;=DAY(DATE(Setup!$B$8,10+1,0)),6,"")</f>
        <v>6</v>
      </c>
      <c r="I4" s="10">
        <f>IF(7&lt;=DAY(DATE(Setup!$B$8,10+1,0)),7,"")</f>
        <v>7</v>
      </c>
      <c r="J4" s="10">
        <f>IF(8&lt;=DAY(DATE(Setup!$B$8,10+1,0)),8,"")</f>
        <v>8</v>
      </c>
      <c r="K4" s="10">
        <f>IF(9&lt;=DAY(DATE(Setup!$B$8,10+1,0)),9,"")</f>
        <v>9</v>
      </c>
      <c r="L4" s="10">
        <f>IF(10&lt;=DAY(DATE(Setup!$B$8,10+1,0)),10,"")</f>
        <v>10</v>
      </c>
      <c r="M4" s="10">
        <f>IF(11&lt;=DAY(DATE(Setup!$B$8,10+1,0)),11,"")</f>
        <v>11</v>
      </c>
      <c r="N4" s="10">
        <f>IF(12&lt;=DAY(DATE(Setup!$B$8,10+1,0)),12,"")</f>
        <v>12</v>
      </c>
      <c r="O4" s="10">
        <f>IF(13&lt;=DAY(DATE(Setup!$B$8,10+1,0)),13,"")</f>
        <v>13</v>
      </c>
      <c r="P4" s="10">
        <f>IF(14&lt;=DAY(DATE(Setup!$B$8,10+1,0)),14,"")</f>
        <v>14</v>
      </c>
      <c r="Q4" s="10">
        <f>IF(15&lt;=DAY(DATE(Setup!$B$8,10+1,0)),15,"")</f>
        <v>15</v>
      </c>
      <c r="R4" s="10">
        <f>IF(16&lt;=DAY(DATE(Setup!$B$8,10+1,0)),16,"")</f>
        <v>16</v>
      </c>
      <c r="S4" s="10">
        <f>IF(17&lt;=DAY(DATE(Setup!$B$8,10+1,0)),17,"")</f>
        <v>17</v>
      </c>
      <c r="T4" s="10">
        <f>IF(18&lt;=DAY(DATE(Setup!$B$8,10+1,0)),18,"")</f>
        <v>18</v>
      </c>
      <c r="U4" s="10">
        <f>IF(19&lt;=DAY(DATE(Setup!$B$8,10+1,0)),19,"")</f>
        <v>19</v>
      </c>
      <c r="V4" s="10">
        <f>IF(20&lt;=DAY(DATE(Setup!$B$8,10+1,0)),20,"")</f>
        <v>20</v>
      </c>
      <c r="W4" s="10">
        <f>IF(21&lt;=DAY(DATE(Setup!$B$8,10+1,0)),21,"")</f>
        <v>21</v>
      </c>
      <c r="X4" s="10">
        <f>IF(22&lt;=DAY(DATE(Setup!$B$8,10+1,0)),22,"")</f>
        <v>22</v>
      </c>
      <c r="Y4" s="10">
        <f>IF(23&lt;=DAY(DATE(Setup!$B$8,10+1,0)),23,"")</f>
        <v>23</v>
      </c>
      <c r="Z4" s="10">
        <f>IF(24&lt;=DAY(DATE(Setup!$B$8,10+1,0)),24,"")</f>
        <v>24</v>
      </c>
      <c r="AA4" s="10">
        <f>IF(25&lt;=DAY(DATE(Setup!$B$8,10+1,0)),25,"")</f>
        <v>25</v>
      </c>
      <c r="AB4" s="10">
        <f>IF(26&lt;=DAY(DATE(Setup!$B$8,10+1,0)),26,"")</f>
        <v>26</v>
      </c>
      <c r="AC4" s="10">
        <f>IF(27&lt;=DAY(DATE(Setup!$B$8,10+1,0)),27,"")</f>
        <v>27</v>
      </c>
      <c r="AD4" s="10">
        <f>IF(28&lt;=DAY(DATE(Setup!$B$8,10+1,0)),28,"")</f>
        <v>28</v>
      </c>
      <c r="AE4" s="10">
        <f>IF(29&lt;=DAY(DATE(Setup!$B$8,10+1,0)),29,"")</f>
        <v>29</v>
      </c>
      <c r="AF4" s="10">
        <f>IF(30&lt;=DAY(DATE(Setup!$B$8,10+1,0)),30,"")</f>
        <v>30</v>
      </c>
      <c r="AG4" s="10">
        <f>IF(31&lt;=DAY(DATE(Setup!$B$8,10+1,0)),31,"")</f>
        <v>31</v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IF(C$4="","",CHOOSE(WEEKDAY(DATE(Setup!$B$8,10,C$4)),"Su","Mo","Tu","We","Th","Fr","Sa"))</f>
        <v>Th</v>
      </c>
      <c r="D5" s="17" t="str">
        <f>IF(D$4="","",CHOOSE(WEEKDAY(DATE(Setup!$B$8,10,D$4)),"Su","Mo","Tu","We","Th","Fr","Sa"))</f>
        <v>Fr</v>
      </c>
      <c r="E5" s="17" t="str">
        <f>IF(E$4="","",CHOOSE(WEEKDAY(DATE(Setup!$B$8,10,E$4)),"Su","Mo","Tu","We","Th","Fr","Sa"))</f>
        <v>Sa</v>
      </c>
      <c r="F5" s="17" t="str">
        <f>IF(F$4="","",CHOOSE(WEEKDAY(DATE(Setup!$B$8,10,F$4)),"Su","Mo","Tu","We","Th","Fr","Sa"))</f>
        <v>Su</v>
      </c>
      <c r="G5" s="17" t="str">
        <f>IF(G$4="","",CHOOSE(WEEKDAY(DATE(Setup!$B$8,10,G$4)),"Su","Mo","Tu","We","Th","Fr","Sa"))</f>
        <v>Mo</v>
      </c>
      <c r="H5" s="17" t="str">
        <f>IF(H$4="","",CHOOSE(WEEKDAY(DATE(Setup!$B$8,10,H$4)),"Su","Mo","Tu","We","Th","Fr","Sa"))</f>
        <v>Tu</v>
      </c>
      <c r="I5" s="17" t="str">
        <f>IF(I$4="","",CHOOSE(WEEKDAY(DATE(Setup!$B$8,10,I$4)),"Su","Mo","Tu","We","Th","Fr","Sa"))</f>
        <v>We</v>
      </c>
      <c r="J5" s="17" t="str">
        <f>IF(J$4="","",CHOOSE(WEEKDAY(DATE(Setup!$B$8,10,J$4)),"Su","Mo","Tu","We","Th","Fr","Sa"))</f>
        <v>Th</v>
      </c>
      <c r="K5" s="17" t="str">
        <f>IF(K$4="","",CHOOSE(WEEKDAY(DATE(Setup!$B$8,10,K$4)),"Su","Mo","Tu","We","Th","Fr","Sa"))</f>
        <v>Fr</v>
      </c>
      <c r="L5" s="17" t="str">
        <f>IF(L$4="","",CHOOSE(WEEKDAY(DATE(Setup!$B$8,10,L$4)),"Su","Mo","Tu","We","Th","Fr","Sa"))</f>
        <v>Sa</v>
      </c>
      <c r="M5" s="17" t="str">
        <f>IF(M$4="","",CHOOSE(WEEKDAY(DATE(Setup!$B$8,10,M$4)),"Su","Mo","Tu","We","Th","Fr","Sa"))</f>
        <v>Su</v>
      </c>
      <c r="N5" s="17" t="str">
        <f>IF(N$4="","",CHOOSE(WEEKDAY(DATE(Setup!$B$8,10,N$4)),"Su","Mo","Tu","We","Th","Fr","Sa"))</f>
        <v>Mo</v>
      </c>
      <c r="O5" s="17" t="str">
        <f>IF(O$4="","",CHOOSE(WEEKDAY(DATE(Setup!$B$8,10,O$4)),"Su","Mo","Tu","We","Th","Fr","Sa"))</f>
        <v>Tu</v>
      </c>
      <c r="P5" s="17" t="str">
        <f>IF(P$4="","",CHOOSE(WEEKDAY(DATE(Setup!$B$8,10,P$4)),"Su","Mo","Tu","We","Th","Fr","Sa"))</f>
        <v>We</v>
      </c>
      <c r="Q5" s="17" t="str">
        <f>IF(Q$4="","",CHOOSE(WEEKDAY(DATE(Setup!$B$8,10,Q$4)),"Su","Mo","Tu","We","Th","Fr","Sa"))</f>
        <v>Th</v>
      </c>
      <c r="R5" s="17" t="str">
        <f>IF(R$4="","",CHOOSE(WEEKDAY(DATE(Setup!$B$8,10,R$4)),"Su","Mo","Tu","We","Th","Fr","Sa"))</f>
        <v>Fr</v>
      </c>
      <c r="S5" s="17" t="str">
        <f>IF(S$4="","",CHOOSE(WEEKDAY(DATE(Setup!$B$8,10,S$4)),"Su","Mo","Tu","We","Th","Fr","Sa"))</f>
        <v>Sa</v>
      </c>
      <c r="T5" s="17" t="str">
        <f>IF(T$4="","",CHOOSE(WEEKDAY(DATE(Setup!$B$8,10,T$4)),"Su","Mo","Tu","We","Th","Fr","Sa"))</f>
        <v>Su</v>
      </c>
      <c r="U5" s="17" t="str">
        <f>IF(U$4="","",CHOOSE(WEEKDAY(DATE(Setup!$B$8,10,U$4)),"Su","Mo","Tu","We","Th","Fr","Sa"))</f>
        <v>Mo</v>
      </c>
      <c r="V5" s="17" t="str">
        <f>IF(V$4="","",CHOOSE(WEEKDAY(DATE(Setup!$B$8,10,V$4)),"Su","Mo","Tu","We","Th","Fr","Sa"))</f>
        <v>Tu</v>
      </c>
      <c r="W5" s="17" t="str">
        <f>IF(W$4="","",CHOOSE(WEEKDAY(DATE(Setup!$B$8,10,W$4)),"Su","Mo","Tu","We","Th","Fr","Sa"))</f>
        <v>We</v>
      </c>
      <c r="X5" s="17" t="str">
        <f>IF(X$4="","",CHOOSE(WEEKDAY(DATE(Setup!$B$8,10,X$4)),"Su","Mo","Tu","We","Th","Fr","Sa"))</f>
        <v>Th</v>
      </c>
      <c r="Y5" s="17" t="str">
        <f>IF(Y$4="","",CHOOSE(WEEKDAY(DATE(Setup!$B$8,10,Y$4)),"Su","Mo","Tu","We","Th","Fr","Sa"))</f>
        <v>Fr</v>
      </c>
      <c r="Z5" s="17" t="str">
        <f>IF(Z$4="","",CHOOSE(WEEKDAY(DATE(Setup!$B$8,10,Z$4)),"Su","Mo","Tu","We","Th","Fr","Sa"))</f>
        <v>Sa</v>
      </c>
      <c r="AA5" s="17" t="str">
        <f>IF(AA$4="","",CHOOSE(WEEKDAY(DATE(Setup!$B$8,10,AA$4)),"Su","Mo","Tu","We","Th","Fr","Sa"))</f>
        <v>Su</v>
      </c>
      <c r="AB5" s="17" t="str">
        <f>IF(AB$4="","",CHOOSE(WEEKDAY(DATE(Setup!$B$8,10,AB$4)),"Su","Mo","Tu","We","Th","Fr","Sa"))</f>
        <v>Mo</v>
      </c>
      <c r="AC5" s="17" t="str">
        <f>IF(AC$4="","",CHOOSE(WEEKDAY(DATE(Setup!$B$8,10,AC$4)),"Su","Mo","Tu","We","Th","Fr","Sa"))</f>
        <v>Tu</v>
      </c>
      <c r="AD5" s="17" t="str">
        <f>IF(AD$4="","",CHOOSE(WEEKDAY(DATE(Setup!$B$8,10,AD$4)),"Su","Mo","Tu","We","Th","Fr","Sa"))</f>
        <v>We</v>
      </c>
      <c r="AE5" s="17" t="str">
        <f>IF(AE$4="","",CHOOSE(WEEKDAY(DATE(Setup!$B$8,10,AE$4)),"Su","Mo","Tu","We","Th","Fr","Sa"))</f>
        <v>Th</v>
      </c>
      <c r="AF5" s="17" t="str">
        <f>IF(AF$4="","",CHOOSE(WEEKDAY(DATE(Setup!$B$8,10,AF$4)),"Su","Mo","Tu","We","Th","Fr","Sa"))</f>
        <v>Fr</v>
      </c>
      <c r="AG5" s="17" t="str">
        <f>IF(AG$4="","",CHOOSE(WEEKDAY(DATE(Setup!$B$8,10,AG$4)),"Su","Mo","Tu","We","Th","Fr","Sa"))</f>
        <v>Sa</v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>
        <f>IF(AE$4="","",COUNTIF(AE6:AE55,"P"))</f>
        <v>0</v>
      </c>
      <c r="AF56" s="24">
        <f>IF(AF$4="","",COUNTIF(AF6:AF55,"P"))</f>
        <v>0</v>
      </c>
      <c r="AG56" s="24">
        <f>IF(AG$4="","",COUNTIF(AG6:AG55,"P"))</f>
        <v>0</v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>
        <f>IF(AE$4="","",COUNTIF(AE6:AE55,"A")+COUNTIF(AE6:AE55,"L"))</f>
        <v>0</v>
      </c>
      <c r="AF57" s="24">
        <f>IF(AF$4="","",COUNTIF(AF6:AF55,"A")+COUNTIF(AF6:AF55,"L"))</f>
        <v>0</v>
      </c>
      <c r="AG57" s="24">
        <f>IF(AG$4="","",COUNTIF(AG6:AG55,"A")+COUNTIF(AG6:AG55,"L"))</f>
        <v>0</v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36" priority="1">
      <formula>C$4=""</formula>
    </cfRule>
  </conditionalFormatting>
  <conditionalFormatting sqref="C6:AG55">
    <cfRule type="expression" dxfId="37" priority="2">
      <formula>C6="A"</formula>
    </cfRule>
    <cfRule type="expression" dxfId="38" priority="3">
      <formula>C6="L"</formula>
    </cfRule>
    <cfRule type="expression" dxfId="39" priority="4">
      <formula>C6="H"</formula>
    </cfRule>
    <cfRule type="expression" dxfId="40" priority="5">
      <formula>C$5="Su"</formula>
    </cfRule>
  </conditionalFormatting>
  <conditionalFormatting sqref="AL6:AL55">
    <cfRule type="expression" dxfId="41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November "&amp;Setup!$B$8&amp;"   ·   Class teacher: "&amp;Setup!$B$7</f>
        <v>Class VII A   ·   November 2026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IF(1&lt;=DAY(DATE(Setup!$B$8,11+1,0)),1,"")</f>
        <v>1</v>
      </c>
      <c r="D4" s="10">
        <f>IF(2&lt;=DAY(DATE(Setup!$B$8,11+1,0)),2,"")</f>
        <v>2</v>
      </c>
      <c r="E4" s="10">
        <f>IF(3&lt;=DAY(DATE(Setup!$B$8,11+1,0)),3,"")</f>
        <v>3</v>
      </c>
      <c r="F4" s="10">
        <f>IF(4&lt;=DAY(DATE(Setup!$B$8,11+1,0)),4,"")</f>
        <v>4</v>
      </c>
      <c r="G4" s="10">
        <f>IF(5&lt;=DAY(DATE(Setup!$B$8,11+1,0)),5,"")</f>
        <v>5</v>
      </c>
      <c r="H4" s="10">
        <f>IF(6&lt;=DAY(DATE(Setup!$B$8,11+1,0)),6,"")</f>
        <v>6</v>
      </c>
      <c r="I4" s="10">
        <f>IF(7&lt;=DAY(DATE(Setup!$B$8,11+1,0)),7,"")</f>
        <v>7</v>
      </c>
      <c r="J4" s="10">
        <f>IF(8&lt;=DAY(DATE(Setup!$B$8,11+1,0)),8,"")</f>
        <v>8</v>
      </c>
      <c r="K4" s="10">
        <f>IF(9&lt;=DAY(DATE(Setup!$B$8,11+1,0)),9,"")</f>
        <v>9</v>
      </c>
      <c r="L4" s="10">
        <f>IF(10&lt;=DAY(DATE(Setup!$B$8,11+1,0)),10,"")</f>
        <v>10</v>
      </c>
      <c r="M4" s="10">
        <f>IF(11&lt;=DAY(DATE(Setup!$B$8,11+1,0)),11,"")</f>
        <v>11</v>
      </c>
      <c r="N4" s="10">
        <f>IF(12&lt;=DAY(DATE(Setup!$B$8,11+1,0)),12,"")</f>
        <v>12</v>
      </c>
      <c r="O4" s="10">
        <f>IF(13&lt;=DAY(DATE(Setup!$B$8,11+1,0)),13,"")</f>
        <v>13</v>
      </c>
      <c r="P4" s="10">
        <f>IF(14&lt;=DAY(DATE(Setup!$B$8,11+1,0)),14,"")</f>
        <v>14</v>
      </c>
      <c r="Q4" s="10">
        <f>IF(15&lt;=DAY(DATE(Setup!$B$8,11+1,0)),15,"")</f>
        <v>15</v>
      </c>
      <c r="R4" s="10">
        <f>IF(16&lt;=DAY(DATE(Setup!$B$8,11+1,0)),16,"")</f>
        <v>16</v>
      </c>
      <c r="S4" s="10">
        <f>IF(17&lt;=DAY(DATE(Setup!$B$8,11+1,0)),17,"")</f>
        <v>17</v>
      </c>
      <c r="T4" s="10">
        <f>IF(18&lt;=DAY(DATE(Setup!$B$8,11+1,0)),18,"")</f>
        <v>18</v>
      </c>
      <c r="U4" s="10">
        <f>IF(19&lt;=DAY(DATE(Setup!$B$8,11+1,0)),19,"")</f>
        <v>19</v>
      </c>
      <c r="V4" s="10">
        <f>IF(20&lt;=DAY(DATE(Setup!$B$8,11+1,0)),20,"")</f>
        <v>20</v>
      </c>
      <c r="W4" s="10">
        <f>IF(21&lt;=DAY(DATE(Setup!$B$8,11+1,0)),21,"")</f>
        <v>21</v>
      </c>
      <c r="X4" s="10">
        <f>IF(22&lt;=DAY(DATE(Setup!$B$8,11+1,0)),22,"")</f>
        <v>22</v>
      </c>
      <c r="Y4" s="10">
        <f>IF(23&lt;=DAY(DATE(Setup!$B$8,11+1,0)),23,"")</f>
        <v>23</v>
      </c>
      <c r="Z4" s="10">
        <f>IF(24&lt;=DAY(DATE(Setup!$B$8,11+1,0)),24,"")</f>
        <v>24</v>
      </c>
      <c r="AA4" s="10">
        <f>IF(25&lt;=DAY(DATE(Setup!$B$8,11+1,0)),25,"")</f>
        <v>25</v>
      </c>
      <c r="AB4" s="10">
        <f>IF(26&lt;=DAY(DATE(Setup!$B$8,11+1,0)),26,"")</f>
        <v>26</v>
      </c>
      <c r="AC4" s="10">
        <f>IF(27&lt;=DAY(DATE(Setup!$B$8,11+1,0)),27,"")</f>
        <v>27</v>
      </c>
      <c r="AD4" s="10">
        <f>IF(28&lt;=DAY(DATE(Setup!$B$8,11+1,0)),28,"")</f>
        <v>28</v>
      </c>
      <c r="AE4" s="10">
        <f>IF(29&lt;=DAY(DATE(Setup!$B$8,11+1,0)),29,"")</f>
        <v>29</v>
      </c>
      <c r="AF4" s="10">
        <f>IF(30&lt;=DAY(DATE(Setup!$B$8,11+1,0)),30,"")</f>
        <v>30</v>
      </c>
      <c r="AG4" s="10" t="str">
        <f>IF(31&lt;=DAY(DATE(Setup!$B$8,11+1,0)),31,"")</f>
        <v/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IF(C$4="","",CHOOSE(WEEKDAY(DATE(Setup!$B$8,11,C$4)),"Su","Mo","Tu","We","Th","Fr","Sa"))</f>
        <v>Su</v>
      </c>
      <c r="D5" s="17" t="str">
        <f>IF(D$4="","",CHOOSE(WEEKDAY(DATE(Setup!$B$8,11,D$4)),"Su","Mo","Tu","We","Th","Fr","Sa"))</f>
        <v>Mo</v>
      </c>
      <c r="E5" s="17" t="str">
        <f>IF(E$4="","",CHOOSE(WEEKDAY(DATE(Setup!$B$8,11,E$4)),"Su","Mo","Tu","We","Th","Fr","Sa"))</f>
        <v>Tu</v>
      </c>
      <c r="F5" s="17" t="str">
        <f>IF(F$4="","",CHOOSE(WEEKDAY(DATE(Setup!$B$8,11,F$4)),"Su","Mo","Tu","We","Th","Fr","Sa"))</f>
        <v>We</v>
      </c>
      <c r="G5" s="17" t="str">
        <f>IF(G$4="","",CHOOSE(WEEKDAY(DATE(Setup!$B$8,11,G$4)),"Su","Mo","Tu","We","Th","Fr","Sa"))</f>
        <v>Th</v>
      </c>
      <c r="H5" s="17" t="str">
        <f>IF(H$4="","",CHOOSE(WEEKDAY(DATE(Setup!$B$8,11,H$4)),"Su","Mo","Tu","We","Th","Fr","Sa"))</f>
        <v>Fr</v>
      </c>
      <c r="I5" s="17" t="str">
        <f>IF(I$4="","",CHOOSE(WEEKDAY(DATE(Setup!$B$8,11,I$4)),"Su","Mo","Tu","We","Th","Fr","Sa"))</f>
        <v>Sa</v>
      </c>
      <c r="J5" s="17" t="str">
        <f>IF(J$4="","",CHOOSE(WEEKDAY(DATE(Setup!$B$8,11,J$4)),"Su","Mo","Tu","We","Th","Fr","Sa"))</f>
        <v>Su</v>
      </c>
      <c r="K5" s="17" t="str">
        <f>IF(K$4="","",CHOOSE(WEEKDAY(DATE(Setup!$B$8,11,K$4)),"Su","Mo","Tu","We","Th","Fr","Sa"))</f>
        <v>Mo</v>
      </c>
      <c r="L5" s="17" t="str">
        <f>IF(L$4="","",CHOOSE(WEEKDAY(DATE(Setup!$B$8,11,L$4)),"Su","Mo","Tu","We","Th","Fr","Sa"))</f>
        <v>Tu</v>
      </c>
      <c r="M5" s="17" t="str">
        <f>IF(M$4="","",CHOOSE(WEEKDAY(DATE(Setup!$B$8,11,M$4)),"Su","Mo","Tu","We","Th","Fr","Sa"))</f>
        <v>We</v>
      </c>
      <c r="N5" s="17" t="str">
        <f>IF(N$4="","",CHOOSE(WEEKDAY(DATE(Setup!$B$8,11,N$4)),"Su","Mo","Tu","We","Th","Fr","Sa"))</f>
        <v>Th</v>
      </c>
      <c r="O5" s="17" t="str">
        <f>IF(O$4="","",CHOOSE(WEEKDAY(DATE(Setup!$B$8,11,O$4)),"Su","Mo","Tu","We","Th","Fr","Sa"))</f>
        <v>Fr</v>
      </c>
      <c r="P5" s="17" t="str">
        <f>IF(P$4="","",CHOOSE(WEEKDAY(DATE(Setup!$B$8,11,P$4)),"Su","Mo","Tu","We","Th","Fr","Sa"))</f>
        <v>Sa</v>
      </c>
      <c r="Q5" s="17" t="str">
        <f>IF(Q$4="","",CHOOSE(WEEKDAY(DATE(Setup!$B$8,11,Q$4)),"Su","Mo","Tu","We","Th","Fr","Sa"))</f>
        <v>Su</v>
      </c>
      <c r="R5" s="17" t="str">
        <f>IF(R$4="","",CHOOSE(WEEKDAY(DATE(Setup!$B$8,11,R$4)),"Su","Mo","Tu","We","Th","Fr","Sa"))</f>
        <v>Mo</v>
      </c>
      <c r="S5" s="17" t="str">
        <f>IF(S$4="","",CHOOSE(WEEKDAY(DATE(Setup!$B$8,11,S$4)),"Su","Mo","Tu","We","Th","Fr","Sa"))</f>
        <v>Tu</v>
      </c>
      <c r="T5" s="17" t="str">
        <f>IF(T$4="","",CHOOSE(WEEKDAY(DATE(Setup!$B$8,11,T$4)),"Su","Mo","Tu","We","Th","Fr","Sa"))</f>
        <v>We</v>
      </c>
      <c r="U5" s="17" t="str">
        <f>IF(U$4="","",CHOOSE(WEEKDAY(DATE(Setup!$B$8,11,U$4)),"Su","Mo","Tu","We","Th","Fr","Sa"))</f>
        <v>Th</v>
      </c>
      <c r="V5" s="17" t="str">
        <f>IF(V$4="","",CHOOSE(WEEKDAY(DATE(Setup!$B$8,11,V$4)),"Su","Mo","Tu","We","Th","Fr","Sa"))</f>
        <v>Fr</v>
      </c>
      <c r="W5" s="17" t="str">
        <f>IF(W$4="","",CHOOSE(WEEKDAY(DATE(Setup!$B$8,11,W$4)),"Su","Mo","Tu","We","Th","Fr","Sa"))</f>
        <v>Sa</v>
      </c>
      <c r="X5" s="17" t="str">
        <f>IF(X$4="","",CHOOSE(WEEKDAY(DATE(Setup!$B$8,11,X$4)),"Su","Mo","Tu","We","Th","Fr","Sa"))</f>
        <v>Su</v>
      </c>
      <c r="Y5" s="17" t="str">
        <f>IF(Y$4="","",CHOOSE(WEEKDAY(DATE(Setup!$B$8,11,Y$4)),"Su","Mo","Tu","We","Th","Fr","Sa"))</f>
        <v>Mo</v>
      </c>
      <c r="Z5" s="17" t="str">
        <f>IF(Z$4="","",CHOOSE(WEEKDAY(DATE(Setup!$B$8,11,Z$4)),"Su","Mo","Tu","We","Th","Fr","Sa"))</f>
        <v>Tu</v>
      </c>
      <c r="AA5" s="17" t="str">
        <f>IF(AA$4="","",CHOOSE(WEEKDAY(DATE(Setup!$B$8,11,AA$4)),"Su","Mo","Tu","We","Th","Fr","Sa"))</f>
        <v>We</v>
      </c>
      <c r="AB5" s="17" t="str">
        <f>IF(AB$4="","",CHOOSE(WEEKDAY(DATE(Setup!$B$8,11,AB$4)),"Su","Mo","Tu","We","Th","Fr","Sa"))</f>
        <v>Th</v>
      </c>
      <c r="AC5" s="17" t="str">
        <f>IF(AC$4="","",CHOOSE(WEEKDAY(DATE(Setup!$B$8,11,AC$4)),"Su","Mo","Tu","We","Th","Fr","Sa"))</f>
        <v>Fr</v>
      </c>
      <c r="AD5" s="17" t="str">
        <f>IF(AD$4="","",CHOOSE(WEEKDAY(DATE(Setup!$B$8,11,AD$4)),"Su","Mo","Tu","We","Th","Fr","Sa"))</f>
        <v>Sa</v>
      </c>
      <c r="AE5" s="17" t="str">
        <f>IF(AE$4="","",CHOOSE(WEEKDAY(DATE(Setup!$B$8,11,AE$4)),"Su","Mo","Tu","We","Th","Fr","Sa"))</f>
        <v>Su</v>
      </c>
      <c r="AF5" s="17" t="str">
        <f>IF(AF$4="","",CHOOSE(WEEKDAY(DATE(Setup!$B$8,11,AF$4)),"Su","Mo","Tu","We","Th","Fr","Sa"))</f>
        <v>Mo</v>
      </c>
      <c r="AG5" s="17" t="str">
        <f>IF(AG$4="","",CHOOSE(WEEKDAY(DATE(Setup!$B$8,11,AG$4)),"Su","Mo","Tu","We","Th","Fr","Sa"))</f>
        <v/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>
        <f>IF(AE$4="","",COUNTIF(AE6:AE55,"P"))</f>
        <v>0</v>
      </c>
      <c r="AF56" s="24">
        <f>IF(AF$4="","",COUNTIF(AF6:AF55,"P"))</f>
        <v>0</v>
      </c>
      <c r="AG56" s="24" t="str">
        <f>IF(AG$4="","",COUNTIF(AG6:AG55,"P"))</f>
        <v/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>
        <f>IF(AE$4="","",COUNTIF(AE6:AE55,"A")+COUNTIF(AE6:AE55,"L"))</f>
        <v>0</v>
      </c>
      <c r="AF57" s="24">
        <f>IF(AF$4="","",COUNTIF(AF6:AF55,"A")+COUNTIF(AF6:AF55,"L"))</f>
        <v>0</v>
      </c>
      <c r="AG57" s="24" t="str">
        <f>IF(AG$4="","",COUNTIF(AG6:AG55,"A")+COUNTIF(AG6:AG55,"L"))</f>
        <v/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42" priority="1">
      <formula>C$4=""</formula>
    </cfRule>
  </conditionalFormatting>
  <conditionalFormatting sqref="C6:AG55">
    <cfRule type="expression" dxfId="43" priority="2">
      <formula>C6="A"</formula>
    </cfRule>
    <cfRule type="expression" dxfId="44" priority="3">
      <formula>C6="L"</formula>
    </cfRule>
    <cfRule type="expression" dxfId="45" priority="4">
      <formula>C6="H"</formula>
    </cfRule>
    <cfRule type="expression" dxfId="46" priority="5">
      <formula>C$5="Su"</formula>
    </cfRule>
  </conditionalFormatting>
  <conditionalFormatting sqref="AL6:AL55">
    <cfRule type="expression" dxfId="47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December "&amp;Setup!$B$8&amp;"   ·   Class teacher: "&amp;Setup!$B$7</f>
        <v>Class VII A   ·   December 2026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IF(1&lt;=DAY(DATE(Setup!$B$8,12+1,0)),1,"")</f>
        <v>1</v>
      </c>
      <c r="D4" s="10">
        <f>IF(2&lt;=DAY(DATE(Setup!$B$8,12+1,0)),2,"")</f>
        <v>2</v>
      </c>
      <c r="E4" s="10">
        <f>IF(3&lt;=DAY(DATE(Setup!$B$8,12+1,0)),3,"")</f>
        <v>3</v>
      </c>
      <c r="F4" s="10">
        <f>IF(4&lt;=DAY(DATE(Setup!$B$8,12+1,0)),4,"")</f>
        <v>4</v>
      </c>
      <c r="G4" s="10">
        <f>IF(5&lt;=DAY(DATE(Setup!$B$8,12+1,0)),5,"")</f>
        <v>5</v>
      </c>
      <c r="H4" s="10">
        <f>IF(6&lt;=DAY(DATE(Setup!$B$8,12+1,0)),6,"")</f>
        <v>6</v>
      </c>
      <c r="I4" s="10">
        <f>IF(7&lt;=DAY(DATE(Setup!$B$8,12+1,0)),7,"")</f>
        <v>7</v>
      </c>
      <c r="J4" s="10">
        <f>IF(8&lt;=DAY(DATE(Setup!$B$8,12+1,0)),8,"")</f>
        <v>8</v>
      </c>
      <c r="K4" s="10">
        <f>IF(9&lt;=DAY(DATE(Setup!$B$8,12+1,0)),9,"")</f>
        <v>9</v>
      </c>
      <c r="L4" s="10">
        <f>IF(10&lt;=DAY(DATE(Setup!$B$8,12+1,0)),10,"")</f>
        <v>10</v>
      </c>
      <c r="M4" s="10">
        <f>IF(11&lt;=DAY(DATE(Setup!$B$8,12+1,0)),11,"")</f>
        <v>11</v>
      </c>
      <c r="N4" s="10">
        <f>IF(12&lt;=DAY(DATE(Setup!$B$8,12+1,0)),12,"")</f>
        <v>12</v>
      </c>
      <c r="O4" s="10">
        <f>IF(13&lt;=DAY(DATE(Setup!$B$8,12+1,0)),13,"")</f>
        <v>13</v>
      </c>
      <c r="P4" s="10">
        <f>IF(14&lt;=DAY(DATE(Setup!$B$8,12+1,0)),14,"")</f>
        <v>14</v>
      </c>
      <c r="Q4" s="10">
        <f>IF(15&lt;=DAY(DATE(Setup!$B$8,12+1,0)),15,"")</f>
        <v>15</v>
      </c>
      <c r="R4" s="10">
        <f>IF(16&lt;=DAY(DATE(Setup!$B$8,12+1,0)),16,"")</f>
        <v>16</v>
      </c>
      <c r="S4" s="10">
        <f>IF(17&lt;=DAY(DATE(Setup!$B$8,12+1,0)),17,"")</f>
        <v>17</v>
      </c>
      <c r="T4" s="10">
        <f>IF(18&lt;=DAY(DATE(Setup!$B$8,12+1,0)),18,"")</f>
        <v>18</v>
      </c>
      <c r="U4" s="10">
        <f>IF(19&lt;=DAY(DATE(Setup!$B$8,12+1,0)),19,"")</f>
        <v>19</v>
      </c>
      <c r="V4" s="10">
        <f>IF(20&lt;=DAY(DATE(Setup!$B$8,12+1,0)),20,"")</f>
        <v>20</v>
      </c>
      <c r="W4" s="10">
        <f>IF(21&lt;=DAY(DATE(Setup!$B$8,12+1,0)),21,"")</f>
        <v>21</v>
      </c>
      <c r="X4" s="10">
        <f>IF(22&lt;=DAY(DATE(Setup!$B$8,12+1,0)),22,"")</f>
        <v>22</v>
      </c>
      <c r="Y4" s="10">
        <f>IF(23&lt;=DAY(DATE(Setup!$B$8,12+1,0)),23,"")</f>
        <v>23</v>
      </c>
      <c r="Z4" s="10">
        <f>IF(24&lt;=DAY(DATE(Setup!$B$8,12+1,0)),24,"")</f>
        <v>24</v>
      </c>
      <c r="AA4" s="10">
        <f>IF(25&lt;=DAY(DATE(Setup!$B$8,12+1,0)),25,"")</f>
        <v>25</v>
      </c>
      <c r="AB4" s="10">
        <f>IF(26&lt;=DAY(DATE(Setup!$B$8,12+1,0)),26,"")</f>
        <v>26</v>
      </c>
      <c r="AC4" s="10">
        <f>IF(27&lt;=DAY(DATE(Setup!$B$8,12+1,0)),27,"")</f>
        <v>27</v>
      </c>
      <c r="AD4" s="10">
        <f>IF(28&lt;=DAY(DATE(Setup!$B$8,12+1,0)),28,"")</f>
        <v>28</v>
      </c>
      <c r="AE4" s="10">
        <f>IF(29&lt;=DAY(DATE(Setup!$B$8,12+1,0)),29,"")</f>
        <v>29</v>
      </c>
      <c r="AF4" s="10">
        <f>IF(30&lt;=DAY(DATE(Setup!$B$8,12+1,0)),30,"")</f>
        <v>30</v>
      </c>
      <c r="AG4" s="10">
        <f>IF(31&lt;=DAY(DATE(Setup!$B$8,12+1,0)),31,"")</f>
        <v>31</v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IF(C$4="","",CHOOSE(WEEKDAY(DATE(Setup!$B$8,12,C$4)),"Su","Mo","Tu","We","Th","Fr","Sa"))</f>
        <v>Tu</v>
      </c>
      <c r="D5" s="17" t="str">
        <f>IF(D$4="","",CHOOSE(WEEKDAY(DATE(Setup!$B$8,12,D$4)),"Su","Mo","Tu","We","Th","Fr","Sa"))</f>
        <v>We</v>
      </c>
      <c r="E5" s="17" t="str">
        <f>IF(E$4="","",CHOOSE(WEEKDAY(DATE(Setup!$B$8,12,E$4)),"Su","Mo","Tu","We","Th","Fr","Sa"))</f>
        <v>Th</v>
      </c>
      <c r="F5" s="17" t="str">
        <f>IF(F$4="","",CHOOSE(WEEKDAY(DATE(Setup!$B$8,12,F$4)),"Su","Mo","Tu","We","Th","Fr","Sa"))</f>
        <v>Fr</v>
      </c>
      <c r="G5" s="17" t="str">
        <f>IF(G$4="","",CHOOSE(WEEKDAY(DATE(Setup!$B$8,12,G$4)),"Su","Mo","Tu","We","Th","Fr","Sa"))</f>
        <v>Sa</v>
      </c>
      <c r="H5" s="17" t="str">
        <f>IF(H$4="","",CHOOSE(WEEKDAY(DATE(Setup!$B$8,12,H$4)),"Su","Mo","Tu","We","Th","Fr","Sa"))</f>
        <v>Su</v>
      </c>
      <c r="I5" s="17" t="str">
        <f>IF(I$4="","",CHOOSE(WEEKDAY(DATE(Setup!$B$8,12,I$4)),"Su","Mo","Tu","We","Th","Fr","Sa"))</f>
        <v>Mo</v>
      </c>
      <c r="J5" s="17" t="str">
        <f>IF(J$4="","",CHOOSE(WEEKDAY(DATE(Setup!$B$8,12,J$4)),"Su","Mo","Tu","We","Th","Fr","Sa"))</f>
        <v>Tu</v>
      </c>
      <c r="K5" s="17" t="str">
        <f>IF(K$4="","",CHOOSE(WEEKDAY(DATE(Setup!$B$8,12,K$4)),"Su","Mo","Tu","We","Th","Fr","Sa"))</f>
        <v>We</v>
      </c>
      <c r="L5" s="17" t="str">
        <f>IF(L$4="","",CHOOSE(WEEKDAY(DATE(Setup!$B$8,12,L$4)),"Su","Mo","Tu","We","Th","Fr","Sa"))</f>
        <v>Th</v>
      </c>
      <c r="M5" s="17" t="str">
        <f>IF(M$4="","",CHOOSE(WEEKDAY(DATE(Setup!$B$8,12,M$4)),"Su","Mo","Tu","We","Th","Fr","Sa"))</f>
        <v>Fr</v>
      </c>
      <c r="N5" s="17" t="str">
        <f>IF(N$4="","",CHOOSE(WEEKDAY(DATE(Setup!$B$8,12,N$4)),"Su","Mo","Tu","We","Th","Fr","Sa"))</f>
        <v>Sa</v>
      </c>
      <c r="O5" s="17" t="str">
        <f>IF(O$4="","",CHOOSE(WEEKDAY(DATE(Setup!$B$8,12,O$4)),"Su","Mo","Tu","We","Th","Fr","Sa"))</f>
        <v>Su</v>
      </c>
      <c r="P5" s="17" t="str">
        <f>IF(P$4="","",CHOOSE(WEEKDAY(DATE(Setup!$B$8,12,P$4)),"Su","Mo","Tu","We","Th","Fr","Sa"))</f>
        <v>Mo</v>
      </c>
      <c r="Q5" s="17" t="str">
        <f>IF(Q$4="","",CHOOSE(WEEKDAY(DATE(Setup!$B$8,12,Q$4)),"Su","Mo","Tu","We","Th","Fr","Sa"))</f>
        <v>Tu</v>
      </c>
      <c r="R5" s="17" t="str">
        <f>IF(R$4="","",CHOOSE(WEEKDAY(DATE(Setup!$B$8,12,R$4)),"Su","Mo","Tu","We","Th","Fr","Sa"))</f>
        <v>We</v>
      </c>
      <c r="S5" s="17" t="str">
        <f>IF(S$4="","",CHOOSE(WEEKDAY(DATE(Setup!$B$8,12,S$4)),"Su","Mo","Tu","We","Th","Fr","Sa"))</f>
        <v>Th</v>
      </c>
      <c r="T5" s="17" t="str">
        <f>IF(T$4="","",CHOOSE(WEEKDAY(DATE(Setup!$B$8,12,T$4)),"Su","Mo","Tu","We","Th","Fr","Sa"))</f>
        <v>Fr</v>
      </c>
      <c r="U5" s="17" t="str">
        <f>IF(U$4="","",CHOOSE(WEEKDAY(DATE(Setup!$B$8,12,U$4)),"Su","Mo","Tu","We","Th","Fr","Sa"))</f>
        <v>Sa</v>
      </c>
      <c r="V5" s="17" t="str">
        <f>IF(V$4="","",CHOOSE(WEEKDAY(DATE(Setup!$B$8,12,V$4)),"Su","Mo","Tu","We","Th","Fr","Sa"))</f>
        <v>Su</v>
      </c>
      <c r="W5" s="17" t="str">
        <f>IF(W$4="","",CHOOSE(WEEKDAY(DATE(Setup!$B$8,12,W$4)),"Su","Mo","Tu","We","Th","Fr","Sa"))</f>
        <v>Mo</v>
      </c>
      <c r="X5" s="17" t="str">
        <f>IF(X$4="","",CHOOSE(WEEKDAY(DATE(Setup!$B$8,12,X$4)),"Su","Mo","Tu","We","Th","Fr","Sa"))</f>
        <v>Tu</v>
      </c>
      <c r="Y5" s="17" t="str">
        <f>IF(Y$4="","",CHOOSE(WEEKDAY(DATE(Setup!$B$8,12,Y$4)),"Su","Mo","Tu","We","Th","Fr","Sa"))</f>
        <v>We</v>
      </c>
      <c r="Z5" s="17" t="str">
        <f>IF(Z$4="","",CHOOSE(WEEKDAY(DATE(Setup!$B$8,12,Z$4)),"Su","Mo","Tu","We","Th","Fr","Sa"))</f>
        <v>Th</v>
      </c>
      <c r="AA5" s="17" t="str">
        <f>IF(AA$4="","",CHOOSE(WEEKDAY(DATE(Setup!$B$8,12,AA$4)),"Su","Mo","Tu","We","Th","Fr","Sa"))</f>
        <v>Fr</v>
      </c>
      <c r="AB5" s="17" t="str">
        <f>IF(AB$4="","",CHOOSE(WEEKDAY(DATE(Setup!$B$8,12,AB$4)),"Su","Mo","Tu","We","Th","Fr","Sa"))</f>
        <v>Sa</v>
      </c>
      <c r="AC5" s="17" t="str">
        <f>IF(AC$4="","",CHOOSE(WEEKDAY(DATE(Setup!$B$8,12,AC$4)),"Su","Mo","Tu","We","Th","Fr","Sa"))</f>
        <v>Su</v>
      </c>
      <c r="AD5" s="17" t="str">
        <f>IF(AD$4="","",CHOOSE(WEEKDAY(DATE(Setup!$B$8,12,AD$4)),"Su","Mo","Tu","We","Th","Fr","Sa"))</f>
        <v>Mo</v>
      </c>
      <c r="AE5" s="17" t="str">
        <f>IF(AE$4="","",CHOOSE(WEEKDAY(DATE(Setup!$B$8,12,AE$4)),"Su","Mo","Tu","We","Th","Fr","Sa"))</f>
        <v>Tu</v>
      </c>
      <c r="AF5" s="17" t="str">
        <f>IF(AF$4="","",CHOOSE(WEEKDAY(DATE(Setup!$B$8,12,AF$4)),"Su","Mo","Tu","We","Th","Fr","Sa"))</f>
        <v>We</v>
      </c>
      <c r="AG5" s="17" t="str">
        <f>IF(AG$4="","",CHOOSE(WEEKDAY(DATE(Setup!$B$8,12,AG$4)),"Su","Mo","Tu","We","Th","Fr","Sa"))</f>
        <v>Th</v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>
        <f>IF(AE$4="","",COUNTIF(AE6:AE55,"P"))</f>
        <v>0</v>
      </c>
      <c r="AF56" s="24">
        <f>IF(AF$4="","",COUNTIF(AF6:AF55,"P"))</f>
        <v>0</v>
      </c>
      <c r="AG56" s="24">
        <f>IF(AG$4="","",COUNTIF(AG6:AG55,"P"))</f>
        <v>0</v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>
        <f>IF(AE$4="","",COUNTIF(AE6:AE55,"A")+COUNTIF(AE6:AE55,"L"))</f>
        <v>0</v>
      </c>
      <c r="AF57" s="24">
        <f>IF(AF$4="","",COUNTIF(AF6:AF55,"A")+COUNTIF(AF6:AF55,"L"))</f>
        <v>0</v>
      </c>
      <c r="AG57" s="24">
        <f>IF(AG$4="","",COUNTIF(AG6:AG55,"A")+COUNTIF(AG6:AG55,"L"))</f>
        <v>0</v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48" priority="1">
      <formula>C$4=""</formula>
    </cfRule>
  </conditionalFormatting>
  <conditionalFormatting sqref="C6:AG55">
    <cfRule type="expression" dxfId="49" priority="2">
      <formula>C6="A"</formula>
    </cfRule>
    <cfRule type="expression" dxfId="50" priority="3">
      <formula>C6="L"</formula>
    </cfRule>
    <cfRule type="expression" dxfId="51" priority="4">
      <formula>C6="H"</formula>
    </cfRule>
    <cfRule type="expression" dxfId="52" priority="5">
      <formula>C$5="Su"</formula>
    </cfRule>
  </conditionalFormatting>
  <conditionalFormatting sqref="AL6:AL55">
    <cfRule type="expression" dxfId="53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January "&amp;(Setup!$B$8+1)&amp;"   ·   Class teacher: "&amp;Setup!$B$7</f>
        <v>Class VII A   ·   January 2027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IF(1&lt;=DAY(DATE((Setup!$B$8+1),1+1,0)),1,"")</f>
        <v>1</v>
      </c>
      <c r="D4" s="10">
        <f>IF(2&lt;=DAY(DATE((Setup!$B$8+1),1+1,0)),2,"")</f>
        <v>2</v>
      </c>
      <c r="E4" s="10">
        <f>IF(3&lt;=DAY(DATE((Setup!$B$8+1),1+1,0)),3,"")</f>
        <v>3</v>
      </c>
      <c r="F4" s="10">
        <f>IF(4&lt;=DAY(DATE((Setup!$B$8+1),1+1,0)),4,"")</f>
        <v>4</v>
      </c>
      <c r="G4" s="10">
        <f>IF(5&lt;=DAY(DATE((Setup!$B$8+1),1+1,0)),5,"")</f>
        <v>5</v>
      </c>
      <c r="H4" s="10">
        <f>IF(6&lt;=DAY(DATE((Setup!$B$8+1),1+1,0)),6,"")</f>
        <v>6</v>
      </c>
      <c r="I4" s="10">
        <f>IF(7&lt;=DAY(DATE((Setup!$B$8+1),1+1,0)),7,"")</f>
        <v>7</v>
      </c>
      <c r="J4" s="10">
        <f>IF(8&lt;=DAY(DATE((Setup!$B$8+1),1+1,0)),8,"")</f>
        <v>8</v>
      </c>
      <c r="K4" s="10">
        <f>IF(9&lt;=DAY(DATE((Setup!$B$8+1),1+1,0)),9,"")</f>
        <v>9</v>
      </c>
      <c r="L4" s="10">
        <f>IF(10&lt;=DAY(DATE((Setup!$B$8+1),1+1,0)),10,"")</f>
        <v>10</v>
      </c>
      <c r="M4" s="10">
        <f>IF(11&lt;=DAY(DATE((Setup!$B$8+1),1+1,0)),11,"")</f>
        <v>11</v>
      </c>
      <c r="N4" s="10">
        <f>IF(12&lt;=DAY(DATE((Setup!$B$8+1),1+1,0)),12,"")</f>
        <v>12</v>
      </c>
      <c r="O4" s="10">
        <f>IF(13&lt;=DAY(DATE((Setup!$B$8+1),1+1,0)),13,"")</f>
        <v>13</v>
      </c>
      <c r="P4" s="10">
        <f>IF(14&lt;=DAY(DATE((Setup!$B$8+1),1+1,0)),14,"")</f>
        <v>14</v>
      </c>
      <c r="Q4" s="10">
        <f>IF(15&lt;=DAY(DATE((Setup!$B$8+1),1+1,0)),15,"")</f>
        <v>15</v>
      </c>
      <c r="R4" s="10">
        <f>IF(16&lt;=DAY(DATE((Setup!$B$8+1),1+1,0)),16,"")</f>
        <v>16</v>
      </c>
      <c r="S4" s="10">
        <f>IF(17&lt;=DAY(DATE((Setup!$B$8+1),1+1,0)),17,"")</f>
        <v>17</v>
      </c>
      <c r="T4" s="10">
        <f>IF(18&lt;=DAY(DATE((Setup!$B$8+1),1+1,0)),18,"")</f>
        <v>18</v>
      </c>
      <c r="U4" s="10">
        <f>IF(19&lt;=DAY(DATE((Setup!$B$8+1),1+1,0)),19,"")</f>
        <v>19</v>
      </c>
      <c r="V4" s="10">
        <f>IF(20&lt;=DAY(DATE((Setup!$B$8+1),1+1,0)),20,"")</f>
        <v>20</v>
      </c>
      <c r="W4" s="10">
        <f>IF(21&lt;=DAY(DATE((Setup!$B$8+1),1+1,0)),21,"")</f>
        <v>21</v>
      </c>
      <c r="X4" s="10">
        <f>IF(22&lt;=DAY(DATE((Setup!$B$8+1),1+1,0)),22,"")</f>
        <v>22</v>
      </c>
      <c r="Y4" s="10">
        <f>IF(23&lt;=DAY(DATE((Setup!$B$8+1),1+1,0)),23,"")</f>
        <v>23</v>
      </c>
      <c r="Z4" s="10">
        <f>IF(24&lt;=DAY(DATE((Setup!$B$8+1),1+1,0)),24,"")</f>
        <v>24</v>
      </c>
      <c r="AA4" s="10">
        <f>IF(25&lt;=DAY(DATE((Setup!$B$8+1),1+1,0)),25,"")</f>
        <v>25</v>
      </c>
      <c r="AB4" s="10">
        <f>IF(26&lt;=DAY(DATE((Setup!$B$8+1),1+1,0)),26,"")</f>
        <v>26</v>
      </c>
      <c r="AC4" s="10">
        <f>IF(27&lt;=DAY(DATE((Setup!$B$8+1),1+1,0)),27,"")</f>
        <v>27</v>
      </c>
      <c r="AD4" s="10">
        <f>IF(28&lt;=DAY(DATE((Setup!$B$8+1),1+1,0)),28,"")</f>
        <v>28</v>
      </c>
      <c r="AE4" s="10">
        <f>IF(29&lt;=DAY(DATE((Setup!$B$8+1),1+1,0)),29,"")</f>
        <v>29</v>
      </c>
      <c r="AF4" s="10">
        <f>IF(30&lt;=DAY(DATE((Setup!$B$8+1),1+1,0)),30,"")</f>
        <v>30</v>
      </c>
      <c r="AG4" s="10">
        <f>IF(31&lt;=DAY(DATE((Setup!$B$8+1),1+1,0)),31,"")</f>
        <v>31</v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IF(C$4="","",CHOOSE(WEEKDAY(DATE((Setup!$B$8+1),1,C$4)),"Su","Mo","Tu","We","Th","Fr","Sa"))</f>
        <v>Fr</v>
      </c>
      <c r="D5" s="17" t="str">
        <f>IF(D$4="","",CHOOSE(WEEKDAY(DATE((Setup!$B$8+1),1,D$4)),"Su","Mo","Tu","We","Th","Fr","Sa"))</f>
        <v>Sa</v>
      </c>
      <c r="E5" s="17" t="str">
        <f>IF(E$4="","",CHOOSE(WEEKDAY(DATE((Setup!$B$8+1),1,E$4)),"Su","Mo","Tu","We","Th","Fr","Sa"))</f>
        <v>Su</v>
      </c>
      <c r="F5" s="17" t="str">
        <f>IF(F$4="","",CHOOSE(WEEKDAY(DATE((Setup!$B$8+1),1,F$4)),"Su","Mo","Tu","We","Th","Fr","Sa"))</f>
        <v>Mo</v>
      </c>
      <c r="G5" s="17" t="str">
        <f>IF(G$4="","",CHOOSE(WEEKDAY(DATE((Setup!$B$8+1),1,G$4)),"Su","Mo","Tu","We","Th","Fr","Sa"))</f>
        <v>Tu</v>
      </c>
      <c r="H5" s="17" t="str">
        <f>IF(H$4="","",CHOOSE(WEEKDAY(DATE((Setup!$B$8+1),1,H$4)),"Su","Mo","Tu","We","Th","Fr","Sa"))</f>
        <v>We</v>
      </c>
      <c r="I5" s="17" t="str">
        <f>IF(I$4="","",CHOOSE(WEEKDAY(DATE((Setup!$B$8+1),1,I$4)),"Su","Mo","Tu","We","Th","Fr","Sa"))</f>
        <v>Th</v>
      </c>
      <c r="J5" s="17" t="str">
        <f>IF(J$4="","",CHOOSE(WEEKDAY(DATE((Setup!$B$8+1),1,J$4)),"Su","Mo","Tu","We","Th","Fr","Sa"))</f>
        <v>Fr</v>
      </c>
      <c r="K5" s="17" t="str">
        <f>IF(K$4="","",CHOOSE(WEEKDAY(DATE((Setup!$B$8+1),1,K$4)),"Su","Mo","Tu","We","Th","Fr","Sa"))</f>
        <v>Sa</v>
      </c>
      <c r="L5" s="17" t="str">
        <f>IF(L$4="","",CHOOSE(WEEKDAY(DATE((Setup!$B$8+1),1,L$4)),"Su","Mo","Tu","We","Th","Fr","Sa"))</f>
        <v>Su</v>
      </c>
      <c r="M5" s="17" t="str">
        <f>IF(M$4="","",CHOOSE(WEEKDAY(DATE((Setup!$B$8+1),1,M$4)),"Su","Mo","Tu","We","Th","Fr","Sa"))</f>
        <v>Mo</v>
      </c>
      <c r="N5" s="17" t="str">
        <f>IF(N$4="","",CHOOSE(WEEKDAY(DATE((Setup!$B$8+1),1,N$4)),"Su","Mo","Tu","We","Th","Fr","Sa"))</f>
        <v>Tu</v>
      </c>
      <c r="O5" s="17" t="str">
        <f>IF(O$4="","",CHOOSE(WEEKDAY(DATE((Setup!$B$8+1),1,O$4)),"Su","Mo","Tu","We","Th","Fr","Sa"))</f>
        <v>We</v>
      </c>
      <c r="P5" s="17" t="str">
        <f>IF(P$4="","",CHOOSE(WEEKDAY(DATE((Setup!$B$8+1),1,P$4)),"Su","Mo","Tu","We","Th","Fr","Sa"))</f>
        <v>Th</v>
      </c>
      <c r="Q5" s="17" t="str">
        <f>IF(Q$4="","",CHOOSE(WEEKDAY(DATE((Setup!$B$8+1),1,Q$4)),"Su","Mo","Tu","We","Th","Fr","Sa"))</f>
        <v>Fr</v>
      </c>
      <c r="R5" s="17" t="str">
        <f>IF(R$4="","",CHOOSE(WEEKDAY(DATE((Setup!$B$8+1),1,R$4)),"Su","Mo","Tu","We","Th","Fr","Sa"))</f>
        <v>Sa</v>
      </c>
      <c r="S5" s="17" t="str">
        <f>IF(S$4="","",CHOOSE(WEEKDAY(DATE((Setup!$B$8+1),1,S$4)),"Su","Mo","Tu","We","Th","Fr","Sa"))</f>
        <v>Su</v>
      </c>
      <c r="T5" s="17" t="str">
        <f>IF(T$4="","",CHOOSE(WEEKDAY(DATE((Setup!$B$8+1),1,T$4)),"Su","Mo","Tu","We","Th","Fr","Sa"))</f>
        <v>Mo</v>
      </c>
      <c r="U5" s="17" t="str">
        <f>IF(U$4="","",CHOOSE(WEEKDAY(DATE((Setup!$B$8+1),1,U$4)),"Su","Mo","Tu","We","Th","Fr","Sa"))</f>
        <v>Tu</v>
      </c>
      <c r="V5" s="17" t="str">
        <f>IF(V$4="","",CHOOSE(WEEKDAY(DATE((Setup!$B$8+1),1,V$4)),"Su","Mo","Tu","We","Th","Fr","Sa"))</f>
        <v>We</v>
      </c>
      <c r="W5" s="17" t="str">
        <f>IF(W$4="","",CHOOSE(WEEKDAY(DATE((Setup!$B$8+1),1,W$4)),"Su","Mo","Tu","We","Th","Fr","Sa"))</f>
        <v>Th</v>
      </c>
      <c r="X5" s="17" t="str">
        <f>IF(X$4="","",CHOOSE(WEEKDAY(DATE((Setup!$B$8+1),1,X$4)),"Su","Mo","Tu","We","Th","Fr","Sa"))</f>
        <v>Fr</v>
      </c>
      <c r="Y5" s="17" t="str">
        <f>IF(Y$4="","",CHOOSE(WEEKDAY(DATE((Setup!$B$8+1),1,Y$4)),"Su","Mo","Tu","We","Th","Fr","Sa"))</f>
        <v>Sa</v>
      </c>
      <c r="Z5" s="17" t="str">
        <f>IF(Z$4="","",CHOOSE(WEEKDAY(DATE((Setup!$B$8+1),1,Z$4)),"Su","Mo","Tu","We","Th","Fr","Sa"))</f>
        <v>Su</v>
      </c>
      <c r="AA5" s="17" t="str">
        <f>IF(AA$4="","",CHOOSE(WEEKDAY(DATE((Setup!$B$8+1),1,AA$4)),"Su","Mo","Tu","We","Th","Fr","Sa"))</f>
        <v>Mo</v>
      </c>
      <c r="AB5" s="17" t="str">
        <f>IF(AB$4="","",CHOOSE(WEEKDAY(DATE((Setup!$B$8+1),1,AB$4)),"Su","Mo","Tu","We","Th","Fr","Sa"))</f>
        <v>Tu</v>
      </c>
      <c r="AC5" s="17" t="str">
        <f>IF(AC$4="","",CHOOSE(WEEKDAY(DATE((Setup!$B$8+1),1,AC$4)),"Su","Mo","Tu","We","Th","Fr","Sa"))</f>
        <v>We</v>
      </c>
      <c r="AD5" s="17" t="str">
        <f>IF(AD$4="","",CHOOSE(WEEKDAY(DATE((Setup!$B$8+1),1,AD$4)),"Su","Mo","Tu","We","Th","Fr","Sa"))</f>
        <v>Th</v>
      </c>
      <c r="AE5" s="17" t="str">
        <f>IF(AE$4="","",CHOOSE(WEEKDAY(DATE((Setup!$B$8+1),1,AE$4)),"Su","Mo","Tu","We","Th","Fr","Sa"))</f>
        <v>Fr</v>
      </c>
      <c r="AF5" s="17" t="str">
        <f>IF(AF$4="","",CHOOSE(WEEKDAY(DATE((Setup!$B$8+1),1,AF$4)),"Su","Mo","Tu","We","Th","Fr","Sa"))</f>
        <v>Sa</v>
      </c>
      <c r="AG5" s="17" t="str">
        <f>IF(AG$4="","",CHOOSE(WEEKDAY(DATE((Setup!$B$8+1),1,AG$4)),"Su","Mo","Tu","We","Th","Fr","Sa"))</f>
        <v>Su</v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>
        <f>IF(AE$4="","",COUNTIF(AE6:AE55,"P"))</f>
        <v>0</v>
      </c>
      <c r="AF56" s="24">
        <f>IF(AF$4="","",COUNTIF(AF6:AF55,"P"))</f>
        <v>0</v>
      </c>
      <c r="AG56" s="24">
        <f>IF(AG$4="","",COUNTIF(AG6:AG55,"P"))</f>
        <v>0</v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>
        <f>IF(AE$4="","",COUNTIF(AE6:AE55,"A")+COUNTIF(AE6:AE55,"L"))</f>
        <v>0</v>
      </c>
      <c r="AF57" s="24">
        <f>IF(AF$4="","",COUNTIF(AF6:AF55,"A")+COUNTIF(AF6:AF55,"L"))</f>
        <v>0</v>
      </c>
      <c r="AG57" s="24">
        <f>IF(AG$4="","",COUNTIF(AG6:AG55,"A")+COUNTIF(AG6:AG55,"L"))</f>
        <v>0</v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54" priority="1">
      <formula>C$4=""</formula>
    </cfRule>
  </conditionalFormatting>
  <conditionalFormatting sqref="C6:AG55">
    <cfRule type="expression" dxfId="55" priority="2">
      <formula>C6="A"</formula>
    </cfRule>
    <cfRule type="expression" dxfId="56" priority="3">
      <formula>C6="L"</formula>
    </cfRule>
    <cfRule type="expression" dxfId="57" priority="4">
      <formula>C6="H"</formula>
    </cfRule>
    <cfRule type="expression" dxfId="58" priority="5">
      <formula>C$5="Su"</formula>
    </cfRule>
  </conditionalFormatting>
  <conditionalFormatting sqref="AL6:AL55">
    <cfRule type="expression" dxfId="59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February "&amp;(Setup!$B$8+1)&amp;"   ·   Class teacher: "&amp;Setup!$B$7</f>
        <v>Class VII A   ·   February 2027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IF(1&lt;=DAY(DATE((Setup!$B$8+1),2+1,0)),1,"")</f>
        <v>1</v>
      </c>
      <c r="D4" s="10">
        <f>IF(2&lt;=DAY(DATE((Setup!$B$8+1),2+1,0)),2,"")</f>
        <v>2</v>
      </c>
      <c r="E4" s="10">
        <f>IF(3&lt;=DAY(DATE((Setup!$B$8+1),2+1,0)),3,"")</f>
        <v>3</v>
      </c>
      <c r="F4" s="10">
        <f>IF(4&lt;=DAY(DATE((Setup!$B$8+1),2+1,0)),4,"")</f>
        <v>4</v>
      </c>
      <c r="G4" s="10">
        <f>IF(5&lt;=DAY(DATE((Setup!$B$8+1),2+1,0)),5,"")</f>
        <v>5</v>
      </c>
      <c r="H4" s="10">
        <f>IF(6&lt;=DAY(DATE((Setup!$B$8+1),2+1,0)),6,"")</f>
        <v>6</v>
      </c>
      <c r="I4" s="10">
        <f>IF(7&lt;=DAY(DATE((Setup!$B$8+1),2+1,0)),7,"")</f>
        <v>7</v>
      </c>
      <c r="J4" s="10">
        <f>IF(8&lt;=DAY(DATE((Setup!$B$8+1),2+1,0)),8,"")</f>
        <v>8</v>
      </c>
      <c r="K4" s="10">
        <f>IF(9&lt;=DAY(DATE((Setup!$B$8+1),2+1,0)),9,"")</f>
        <v>9</v>
      </c>
      <c r="L4" s="10">
        <f>IF(10&lt;=DAY(DATE((Setup!$B$8+1),2+1,0)),10,"")</f>
        <v>10</v>
      </c>
      <c r="M4" s="10">
        <f>IF(11&lt;=DAY(DATE((Setup!$B$8+1),2+1,0)),11,"")</f>
        <v>11</v>
      </c>
      <c r="N4" s="10">
        <f>IF(12&lt;=DAY(DATE((Setup!$B$8+1),2+1,0)),12,"")</f>
        <v>12</v>
      </c>
      <c r="O4" s="10">
        <f>IF(13&lt;=DAY(DATE((Setup!$B$8+1),2+1,0)),13,"")</f>
        <v>13</v>
      </c>
      <c r="P4" s="10">
        <f>IF(14&lt;=DAY(DATE((Setup!$B$8+1),2+1,0)),14,"")</f>
        <v>14</v>
      </c>
      <c r="Q4" s="10">
        <f>IF(15&lt;=DAY(DATE((Setup!$B$8+1),2+1,0)),15,"")</f>
        <v>15</v>
      </c>
      <c r="R4" s="10">
        <f>IF(16&lt;=DAY(DATE((Setup!$B$8+1),2+1,0)),16,"")</f>
        <v>16</v>
      </c>
      <c r="S4" s="10">
        <f>IF(17&lt;=DAY(DATE((Setup!$B$8+1),2+1,0)),17,"")</f>
        <v>17</v>
      </c>
      <c r="T4" s="10">
        <f>IF(18&lt;=DAY(DATE((Setup!$B$8+1),2+1,0)),18,"")</f>
        <v>18</v>
      </c>
      <c r="U4" s="10">
        <f>IF(19&lt;=DAY(DATE((Setup!$B$8+1),2+1,0)),19,"")</f>
        <v>19</v>
      </c>
      <c r="V4" s="10">
        <f>IF(20&lt;=DAY(DATE((Setup!$B$8+1),2+1,0)),20,"")</f>
        <v>20</v>
      </c>
      <c r="W4" s="10">
        <f>IF(21&lt;=DAY(DATE((Setup!$B$8+1),2+1,0)),21,"")</f>
        <v>21</v>
      </c>
      <c r="X4" s="10">
        <f>IF(22&lt;=DAY(DATE((Setup!$B$8+1),2+1,0)),22,"")</f>
        <v>22</v>
      </c>
      <c r="Y4" s="10">
        <f>IF(23&lt;=DAY(DATE((Setup!$B$8+1),2+1,0)),23,"")</f>
        <v>23</v>
      </c>
      <c r="Z4" s="10">
        <f>IF(24&lt;=DAY(DATE((Setup!$B$8+1),2+1,0)),24,"")</f>
        <v>24</v>
      </c>
      <c r="AA4" s="10">
        <f>IF(25&lt;=DAY(DATE((Setup!$B$8+1),2+1,0)),25,"")</f>
        <v>25</v>
      </c>
      <c r="AB4" s="10">
        <f>IF(26&lt;=DAY(DATE((Setup!$B$8+1),2+1,0)),26,"")</f>
        <v>26</v>
      </c>
      <c r="AC4" s="10">
        <f>IF(27&lt;=DAY(DATE((Setup!$B$8+1),2+1,0)),27,"")</f>
        <v>27</v>
      </c>
      <c r="AD4" s="10">
        <f>IF(28&lt;=DAY(DATE((Setup!$B$8+1),2+1,0)),28,"")</f>
        <v>28</v>
      </c>
      <c r="AE4" s="10" t="str">
        <f>IF(29&lt;=DAY(DATE((Setup!$B$8+1),2+1,0)),29,"")</f>
        <v/>
      </c>
      <c r="AF4" s="10" t="str">
        <f>IF(30&lt;=DAY(DATE((Setup!$B$8+1),2+1,0)),30,"")</f>
        <v/>
      </c>
      <c r="AG4" s="10" t="str">
        <f>IF(31&lt;=DAY(DATE((Setup!$B$8+1),2+1,0)),31,"")</f>
        <v/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IF(C$4="","",CHOOSE(WEEKDAY(DATE((Setup!$B$8+1),2,C$4)),"Su","Mo","Tu","We","Th","Fr","Sa"))</f>
        <v>Mo</v>
      </c>
      <c r="D5" s="17" t="str">
        <f>IF(D$4="","",CHOOSE(WEEKDAY(DATE((Setup!$B$8+1),2,D$4)),"Su","Mo","Tu","We","Th","Fr","Sa"))</f>
        <v>Tu</v>
      </c>
      <c r="E5" s="17" t="str">
        <f>IF(E$4="","",CHOOSE(WEEKDAY(DATE((Setup!$B$8+1),2,E$4)),"Su","Mo","Tu","We","Th","Fr","Sa"))</f>
        <v>We</v>
      </c>
      <c r="F5" s="17" t="str">
        <f>IF(F$4="","",CHOOSE(WEEKDAY(DATE((Setup!$B$8+1),2,F$4)),"Su","Mo","Tu","We","Th","Fr","Sa"))</f>
        <v>Th</v>
      </c>
      <c r="G5" s="17" t="str">
        <f>IF(G$4="","",CHOOSE(WEEKDAY(DATE((Setup!$B$8+1),2,G$4)),"Su","Mo","Tu","We","Th","Fr","Sa"))</f>
        <v>Fr</v>
      </c>
      <c r="H5" s="17" t="str">
        <f>IF(H$4="","",CHOOSE(WEEKDAY(DATE((Setup!$B$8+1),2,H$4)),"Su","Mo","Tu","We","Th","Fr","Sa"))</f>
        <v>Sa</v>
      </c>
      <c r="I5" s="17" t="str">
        <f>IF(I$4="","",CHOOSE(WEEKDAY(DATE((Setup!$B$8+1),2,I$4)),"Su","Mo","Tu","We","Th","Fr","Sa"))</f>
        <v>Su</v>
      </c>
      <c r="J5" s="17" t="str">
        <f>IF(J$4="","",CHOOSE(WEEKDAY(DATE((Setup!$B$8+1),2,J$4)),"Su","Mo","Tu","We","Th","Fr","Sa"))</f>
        <v>Mo</v>
      </c>
      <c r="K5" s="17" t="str">
        <f>IF(K$4="","",CHOOSE(WEEKDAY(DATE((Setup!$B$8+1),2,K$4)),"Su","Mo","Tu","We","Th","Fr","Sa"))</f>
        <v>Tu</v>
      </c>
      <c r="L5" s="17" t="str">
        <f>IF(L$4="","",CHOOSE(WEEKDAY(DATE((Setup!$B$8+1),2,L$4)),"Su","Mo","Tu","We","Th","Fr","Sa"))</f>
        <v>We</v>
      </c>
      <c r="M5" s="17" t="str">
        <f>IF(M$4="","",CHOOSE(WEEKDAY(DATE((Setup!$B$8+1),2,M$4)),"Su","Mo","Tu","We","Th","Fr","Sa"))</f>
        <v>Th</v>
      </c>
      <c r="N5" s="17" t="str">
        <f>IF(N$4="","",CHOOSE(WEEKDAY(DATE((Setup!$B$8+1),2,N$4)),"Su","Mo","Tu","We","Th","Fr","Sa"))</f>
        <v>Fr</v>
      </c>
      <c r="O5" s="17" t="str">
        <f>IF(O$4="","",CHOOSE(WEEKDAY(DATE((Setup!$B$8+1),2,O$4)),"Su","Mo","Tu","We","Th","Fr","Sa"))</f>
        <v>Sa</v>
      </c>
      <c r="P5" s="17" t="str">
        <f>IF(P$4="","",CHOOSE(WEEKDAY(DATE((Setup!$B$8+1),2,P$4)),"Su","Mo","Tu","We","Th","Fr","Sa"))</f>
        <v>Su</v>
      </c>
      <c r="Q5" s="17" t="str">
        <f>IF(Q$4="","",CHOOSE(WEEKDAY(DATE((Setup!$B$8+1),2,Q$4)),"Su","Mo","Tu","We","Th","Fr","Sa"))</f>
        <v>Mo</v>
      </c>
      <c r="R5" s="17" t="str">
        <f>IF(R$4="","",CHOOSE(WEEKDAY(DATE((Setup!$B$8+1),2,R$4)),"Su","Mo","Tu","We","Th","Fr","Sa"))</f>
        <v>Tu</v>
      </c>
      <c r="S5" s="17" t="str">
        <f>IF(S$4="","",CHOOSE(WEEKDAY(DATE((Setup!$B$8+1),2,S$4)),"Su","Mo","Tu","We","Th","Fr","Sa"))</f>
        <v>We</v>
      </c>
      <c r="T5" s="17" t="str">
        <f>IF(T$4="","",CHOOSE(WEEKDAY(DATE((Setup!$B$8+1),2,T$4)),"Su","Mo","Tu","We","Th","Fr","Sa"))</f>
        <v>Th</v>
      </c>
      <c r="U5" s="17" t="str">
        <f>IF(U$4="","",CHOOSE(WEEKDAY(DATE((Setup!$B$8+1),2,U$4)),"Su","Mo","Tu","We","Th","Fr","Sa"))</f>
        <v>Fr</v>
      </c>
      <c r="V5" s="17" t="str">
        <f>IF(V$4="","",CHOOSE(WEEKDAY(DATE((Setup!$B$8+1),2,V$4)),"Su","Mo","Tu","We","Th","Fr","Sa"))</f>
        <v>Sa</v>
      </c>
      <c r="W5" s="17" t="str">
        <f>IF(W$4="","",CHOOSE(WEEKDAY(DATE((Setup!$B$8+1),2,W$4)),"Su","Mo","Tu","We","Th","Fr","Sa"))</f>
        <v>Su</v>
      </c>
      <c r="X5" s="17" t="str">
        <f>IF(X$4="","",CHOOSE(WEEKDAY(DATE((Setup!$B$8+1),2,X$4)),"Su","Mo","Tu","We","Th","Fr","Sa"))</f>
        <v>Mo</v>
      </c>
      <c r="Y5" s="17" t="str">
        <f>IF(Y$4="","",CHOOSE(WEEKDAY(DATE((Setup!$B$8+1),2,Y$4)),"Su","Mo","Tu","We","Th","Fr","Sa"))</f>
        <v>Tu</v>
      </c>
      <c r="Z5" s="17" t="str">
        <f>IF(Z$4="","",CHOOSE(WEEKDAY(DATE((Setup!$B$8+1),2,Z$4)),"Su","Mo","Tu","We","Th","Fr","Sa"))</f>
        <v>We</v>
      </c>
      <c r="AA5" s="17" t="str">
        <f>IF(AA$4="","",CHOOSE(WEEKDAY(DATE((Setup!$B$8+1),2,AA$4)),"Su","Mo","Tu","We","Th","Fr","Sa"))</f>
        <v>Th</v>
      </c>
      <c r="AB5" s="17" t="str">
        <f>IF(AB$4="","",CHOOSE(WEEKDAY(DATE((Setup!$B$8+1),2,AB$4)),"Su","Mo","Tu","We","Th","Fr","Sa"))</f>
        <v>Fr</v>
      </c>
      <c r="AC5" s="17" t="str">
        <f>IF(AC$4="","",CHOOSE(WEEKDAY(DATE((Setup!$B$8+1),2,AC$4)),"Su","Mo","Tu","We","Th","Fr","Sa"))</f>
        <v>Sa</v>
      </c>
      <c r="AD5" s="17" t="str">
        <f>IF(AD$4="","",CHOOSE(WEEKDAY(DATE((Setup!$B$8+1),2,AD$4)),"Su","Mo","Tu","We","Th","Fr","Sa"))</f>
        <v>Su</v>
      </c>
      <c r="AE5" s="17" t="str">
        <f>IF(AE$4="","",CHOOSE(WEEKDAY(DATE((Setup!$B$8+1),2,AE$4)),"Su","Mo","Tu","We","Th","Fr","Sa"))</f>
        <v/>
      </c>
      <c r="AF5" s="17" t="str">
        <f>IF(AF$4="","",CHOOSE(WEEKDAY(DATE((Setup!$B$8+1),2,AF$4)),"Su","Mo","Tu","We","Th","Fr","Sa"))</f>
        <v/>
      </c>
      <c r="AG5" s="17" t="str">
        <f>IF(AG$4="","",CHOOSE(WEEKDAY(DATE((Setup!$B$8+1),2,AG$4)),"Su","Mo","Tu","We","Th","Fr","Sa"))</f>
        <v/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 t="str">
        <f>IF(AE$4="","",COUNTIF(AE6:AE55,"P"))</f>
        <v/>
      </c>
      <c r="AF56" s="24" t="str">
        <f>IF(AF$4="","",COUNTIF(AF6:AF55,"P"))</f>
        <v/>
      </c>
      <c r="AG56" s="24" t="str">
        <f>IF(AG$4="","",COUNTIF(AG6:AG55,"P"))</f>
        <v/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 t="str">
        <f>IF(AE$4="","",COUNTIF(AE6:AE55,"A")+COUNTIF(AE6:AE55,"L"))</f>
        <v/>
      </c>
      <c r="AF57" s="24" t="str">
        <f>IF(AF$4="","",COUNTIF(AF6:AF55,"A")+COUNTIF(AF6:AF55,"L"))</f>
        <v/>
      </c>
      <c r="AG57" s="24" t="str">
        <f>IF(AG$4="","",COUNTIF(AG6:AG55,"A")+COUNTIF(AG6:AG55,"L"))</f>
        <v/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60" priority="1">
      <formula>C$4=""</formula>
    </cfRule>
  </conditionalFormatting>
  <conditionalFormatting sqref="C6:AG55">
    <cfRule type="expression" dxfId="61" priority="2">
      <formula>C6="A"</formula>
    </cfRule>
    <cfRule type="expression" dxfId="62" priority="3">
      <formula>C6="L"</formula>
    </cfRule>
    <cfRule type="expression" dxfId="63" priority="4">
      <formula>C6="H"</formula>
    </cfRule>
    <cfRule type="expression" dxfId="64" priority="5">
      <formula>C$5="Su"</formula>
    </cfRule>
  </conditionalFormatting>
  <conditionalFormatting sqref="AL6:AL55">
    <cfRule type="expression" dxfId="65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3" width="3.6" customWidth="1"/>
    <col min="34" max="36" width="5" customWidth="1"/>
    <col min="37" max="37" width="6" customWidth="1"/>
    <col min="38" max="38" width="7.5" customWidth="1"/>
  </cols>
  <sheetData>
    <row r="1" spans="1:1" x14ac:dyDescent="0.25">
      <c r="A1" s="14" t="str">
        <f>Setup!$B$4</f>
        <v>Demo Public School</v>
      </c>
    </row>
    <row r="2" spans="1:38" x14ac:dyDescent="0.25">
      <c r="A2" s="5" t="str">
        <f>"Class "&amp;Setup!$B$5&amp;" "&amp;Setup!$B$6&amp;"   ·   March "&amp;(Setup!$B$8+1)&amp;"   ·   Class teacher: "&amp;Setup!$B$7</f>
        <v>Class VII A   ·   March 2027   ·   Class teacher: Ms. R. Iyer</v>
      </c>
      <c r="AK2" s="15" t="s">
        <v>42</v>
      </c>
      <c r="AL2" s="16">
        <f>Setup!$B$9</f>
        <v>0.75</v>
      </c>
    </row>
    <row r="4" spans="1:38" x14ac:dyDescent="0.25">
      <c r="A4" s="10" t="s">
        <v>43</v>
      </c>
      <c r="B4" s="11" t="s">
        <v>23</v>
      </c>
      <c r="C4" s="10">
        <f>IF(1&lt;=DAY(DATE((Setup!$B$8+1),3+1,0)),1,"")</f>
        <v>1</v>
      </c>
      <c r="D4" s="10">
        <f>IF(2&lt;=DAY(DATE((Setup!$B$8+1),3+1,0)),2,"")</f>
        <v>2</v>
      </c>
      <c r="E4" s="10">
        <f>IF(3&lt;=DAY(DATE((Setup!$B$8+1),3+1,0)),3,"")</f>
        <v>3</v>
      </c>
      <c r="F4" s="10">
        <f>IF(4&lt;=DAY(DATE((Setup!$B$8+1),3+1,0)),4,"")</f>
        <v>4</v>
      </c>
      <c r="G4" s="10">
        <f>IF(5&lt;=DAY(DATE((Setup!$B$8+1),3+1,0)),5,"")</f>
        <v>5</v>
      </c>
      <c r="H4" s="10">
        <f>IF(6&lt;=DAY(DATE((Setup!$B$8+1),3+1,0)),6,"")</f>
        <v>6</v>
      </c>
      <c r="I4" s="10">
        <f>IF(7&lt;=DAY(DATE((Setup!$B$8+1),3+1,0)),7,"")</f>
        <v>7</v>
      </c>
      <c r="J4" s="10">
        <f>IF(8&lt;=DAY(DATE((Setup!$B$8+1),3+1,0)),8,"")</f>
        <v>8</v>
      </c>
      <c r="K4" s="10">
        <f>IF(9&lt;=DAY(DATE((Setup!$B$8+1),3+1,0)),9,"")</f>
        <v>9</v>
      </c>
      <c r="L4" s="10">
        <f>IF(10&lt;=DAY(DATE((Setup!$B$8+1),3+1,0)),10,"")</f>
        <v>10</v>
      </c>
      <c r="M4" s="10">
        <f>IF(11&lt;=DAY(DATE((Setup!$B$8+1),3+1,0)),11,"")</f>
        <v>11</v>
      </c>
      <c r="N4" s="10">
        <f>IF(12&lt;=DAY(DATE((Setup!$B$8+1),3+1,0)),12,"")</f>
        <v>12</v>
      </c>
      <c r="O4" s="10">
        <f>IF(13&lt;=DAY(DATE((Setup!$B$8+1),3+1,0)),13,"")</f>
        <v>13</v>
      </c>
      <c r="P4" s="10">
        <f>IF(14&lt;=DAY(DATE((Setup!$B$8+1),3+1,0)),14,"")</f>
        <v>14</v>
      </c>
      <c r="Q4" s="10">
        <f>IF(15&lt;=DAY(DATE((Setup!$B$8+1),3+1,0)),15,"")</f>
        <v>15</v>
      </c>
      <c r="R4" s="10">
        <f>IF(16&lt;=DAY(DATE((Setup!$B$8+1),3+1,0)),16,"")</f>
        <v>16</v>
      </c>
      <c r="S4" s="10">
        <f>IF(17&lt;=DAY(DATE((Setup!$B$8+1),3+1,0)),17,"")</f>
        <v>17</v>
      </c>
      <c r="T4" s="10">
        <f>IF(18&lt;=DAY(DATE((Setup!$B$8+1),3+1,0)),18,"")</f>
        <v>18</v>
      </c>
      <c r="U4" s="10">
        <f>IF(19&lt;=DAY(DATE((Setup!$B$8+1),3+1,0)),19,"")</f>
        <v>19</v>
      </c>
      <c r="V4" s="10">
        <f>IF(20&lt;=DAY(DATE((Setup!$B$8+1),3+1,0)),20,"")</f>
        <v>20</v>
      </c>
      <c r="W4" s="10">
        <f>IF(21&lt;=DAY(DATE((Setup!$B$8+1),3+1,0)),21,"")</f>
        <v>21</v>
      </c>
      <c r="X4" s="10">
        <f>IF(22&lt;=DAY(DATE((Setup!$B$8+1),3+1,0)),22,"")</f>
        <v>22</v>
      </c>
      <c r="Y4" s="10">
        <f>IF(23&lt;=DAY(DATE((Setup!$B$8+1),3+1,0)),23,"")</f>
        <v>23</v>
      </c>
      <c r="Z4" s="10">
        <f>IF(24&lt;=DAY(DATE((Setup!$B$8+1),3+1,0)),24,"")</f>
        <v>24</v>
      </c>
      <c r="AA4" s="10">
        <f>IF(25&lt;=DAY(DATE((Setup!$B$8+1),3+1,0)),25,"")</f>
        <v>25</v>
      </c>
      <c r="AB4" s="10">
        <f>IF(26&lt;=DAY(DATE((Setup!$B$8+1),3+1,0)),26,"")</f>
        <v>26</v>
      </c>
      <c r="AC4" s="10">
        <f>IF(27&lt;=DAY(DATE((Setup!$B$8+1),3+1,0)),27,"")</f>
        <v>27</v>
      </c>
      <c r="AD4" s="10">
        <f>IF(28&lt;=DAY(DATE((Setup!$B$8+1),3+1,0)),28,"")</f>
        <v>28</v>
      </c>
      <c r="AE4" s="10">
        <f>IF(29&lt;=DAY(DATE((Setup!$B$8+1),3+1,0)),29,"")</f>
        <v>29</v>
      </c>
      <c r="AF4" s="10">
        <f>IF(30&lt;=DAY(DATE((Setup!$B$8+1),3+1,0)),30,"")</f>
        <v>30</v>
      </c>
      <c r="AG4" s="10">
        <f>IF(31&lt;=DAY(DATE((Setup!$B$8+1),3+1,0)),31,"")</f>
        <v>31</v>
      </c>
      <c r="AH4" s="10" t="s">
        <v>13</v>
      </c>
      <c r="AI4" s="10" t="s">
        <v>7</v>
      </c>
      <c r="AJ4" s="10" t="s">
        <v>16</v>
      </c>
      <c r="AK4" s="10" t="s">
        <v>44</v>
      </c>
      <c r="AL4" s="10" t="s">
        <v>45</v>
      </c>
    </row>
    <row r="5" spans="1:38" x14ac:dyDescent="0.25">
      <c r="A5" s="10"/>
      <c r="B5" s="11"/>
      <c r="C5" s="17" t="str">
        <f>IF(C$4="","",CHOOSE(WEEKDAY(DATE((Setup!$B$8+1),3,C$4)),"Su","Mo","Tu","We","Th","Fr","Sa"))</f>
        <v>Mo</v>
      </c>
      <c r="D5" s="17" t="str">
        <f>IF(D$4="","",CHOOSE(WEEKDAY(DATE((Setup!$B$8+1),3,D$4)),"Su","Mo","Tu","We","Th","Fr","Sa"))</f>
        <v>Tu</v>
      </c>
      <c r="E5" s="17" t="str">
        <f>IF(E$4="","",CHOOSE(WEEKDAY(DATE((Setup!$B$8+1),3,E$4)),"Su","Mo","Tu","We","Th","Fr","Sa"))</f>
        <v>We</v>
      </c>
      <c r="F5" s="17" t="str">
        <f>IF(F$4="","",CHOOSE(WEEKDAY(DATE((Setup!$B$8+1),3,F$4)),"Su","Mo","Tu","We","Th","Fr","Sa"))</f>
        <v>Th</v>
      </c>
      <c r="G5" s="17" t="str">
        <f>IF(G$4="","",CHOOSE(WEEKDAY(DATE((Setup!$B$8+1),3,G$4)),"Su","Mo","Tu","We","Th","Fr","Sa"))</f>
        <v>Fr</v>
      </c>
      <c r="H5" s="17" t="str">
        <f>IF(H$4="","",CHOOSE(WEEKDAY(DATE((Setup!$B$8+1),3,H$4)),"Su","Mo","Tu","We","Th","Fr","Sa"))</f>
        <v>Sa</v>
      </c>
      <c r="I5" s="17" t="str">
        <f>IF(I$4="","",CHOOSE(WEEKDAY(DATE((Setup!$B$8+1),3,I$4)),"Su","Mo","Tu","We","Th","Fr","Sa"))</f>
        <v>Su</v>
      </c>
      <c r="J5" s="17" t="str">
        <f>IF(J$4="","",CHOOSE(WEEKDAY(DATE((Setup!$B$8+1),3,J$4)),"Su","Mo","Tu","We","Th","Fr","Sa"))</f>
        <v>Mo</v>
      </c>
      <c r="K5" s="17" t="str">
        <f>IF(K$4="","",CHOOSE(WEEKDAY(DATE((Setup!$B$8+1),3,K$4)),"Su","Mo","Tu","We","Th","Fr","Sa"))</f>
        <v>Tu</v>
      </c>
      <c r="L5" s="17" t="str">
        <f>IF(L$4="","",CHOOSE(WEEKDAY(DATE((Setup!$B$8+1),3,L$4)),"Su","Mo","Tu","We","Th","Fr","Sa"))</f>
        <v>We</v>
      </c>
      <c r="M5" s="17" t="str">
        <f>IF(M$4="","",CHOOSE(WEEKDAY(DATE((Setup!$B$8+1),3,M$4)),"Su","Mo","Tu","We","Th","Fr","Sa"))</f>
        <v>Th</v>
      </c>
      <c r="N5" s="17" t="str">
        <f>IF(N$4="","",CHOOSE(WEEKDAY(DATE((Setup!$B$8+1),3,N$4)),"Su","Mo","Tu","We","Th","Fr","Sa"))</f>
        <v>Fr</v>
      </c>
      <c r="O5" s="17" t="str">
        <f>IF(O$4="","",CHOOSE(WEEKDAY(DATE((Setup!$B$8+1),3,O$4)),"Su","Mo","Tu","We","Th","Fr","Sa"))</f>
        <v>Sa</v>
      </c>
      <c r="P5" s="17" t="str">
        <f>IF(P$4="","",CHOOSE(WEEKDAY(DATE((Setup!$B$8+1),3,P$4)),"Su","Mo","Tu","We","Th","Fr","Sa"))</f>
        <v>Su</v>
      </c>
      <c r="Q5" s="17" t="str">
        <f>IF(Q$4="","",CHOOSE(WEEKDAY(DATE((Setup!$B$8+1),3,Q$4)),"Su","Mo","Tu","We","Th","Fr","Sa"))</f>
        <v>Mo</v>
      </c>
      <c r="R5" s="17" t="str">
        <f>IF(R$4="","",CHOOSE(WEEKDAY(DATE((Setup!$B$8+1),3,R$4)),"Su","Mo","Tu","We","Th","Fr","Sa"))</f>
        <v>Tu</v>
      </c>
      <c r="S5" s="17" t="str">
        <f>IF(S$4="","",CHOOSE(WEEKDAY(DATE((Setup!$B$8+1),3,S$4)),"Su","Mo","Tu","We","Th","Fr","Sa"))</f>
        <v>We</v>
      </c>
      <c r="T5" s="17" t="str">
        <f>IF(T$4="","",CHOOSE(WEEKDAY(DATE((Setup!$B$8+1),3,T$4)),"Su","Mo","Tu","We","Th","Fr","Sa"))</f>
        <v>Th</v>
      </c>
      <c r="U5" s="17" t="str">
        <f>IF(U$4="","",CHOOSE(WEEKDAY(DATE((Setup!$B$8+1),3,U$4)),"Su","Mo","Tu","We","Th","Fr","Sa"))</f>
        <v>Fr</v>
      </c>
      <c r="V5" s="17" t="str">
        <f>IF(V$4="","",CHOOSE(WEEKDAY(DATE((Setup!$B$8+1),3,V$4)),"Su","Mo","Tu","We","Th","Fr","Sa"))</f>
        <v>Sa</v>
      </c>
      <c r="W5" s="17" t="str">
        <f>IF(W$4="","",CHOOSE(WEEKDAY(DATE((Setup!$B$8+1),3,W$4)),"Su","Mo","Tu","We","Th","Fr","Sa"))</f>
        <v>Su</v>
      </c>
      <c r="X5" s="17" t="str">
        <f>IF(X$4="","",CHOOSE(WEEKDAY(DATE((Setup!$B$8+1),3,X$4)),"Su","Mo","Tu","We","Th","Fr","Sa"))</f>
        <v>Mo</v>
      </c>
      <c r="Y5" s="17" t="str">
        <f>IF(Y$4="","",CHOOSE(WEEKDAY(DATE((Setup!$B$8+1),3,Y$4)),"Su","Mo","Tu","We","Th","Fr","Sa"))</f>
        <v>Tu</v>
      </c>
      <c r="Z5" s="17" t="str">
        <f>IF(Z$4="","",CHOOSE(WEEKDAY(DATE((Setup!$B$8+1),3,Z$4)),"Su","Mo","Tu","We","Th","Fr","Sa"))</f>
        <v>We</v>
      </c>
      <c r="AA5" s="17" t="str">
        <f>IF(AA$4="","",CHOOSE(WEEKDAY(DATE((Setup!$B$8+1),3,AA$4)),"Su","Mo","Tu","We","Th","Fr","Sa"))</f>
        <v>Th</v>
      </c>
      <c r="AB5" s="17" t="str">
        <f>IF(AB$4="","",CHOOSE(WEEKDAY(DATE((Setup!$B$8+1),3,AB$4)),"Su","Mo","Tu","We","Th","Fr","Sa"))</f>
        <v>Fr</v>
      </c>
      <c r="AC5" s="17" t="str">
        <f>IF(AC$4="","",CHOOSE(WEEKDAY(DATE((Setup!$B$8+1),3,AC$4)),"Su","Mo","Tu","We","Th","Fr","Sa"))</f>
        <v>Sa</v>
      </c>
      <c r="AD5" s="17" t="str">
        <f>IF(AD$4="","",CHOOSE(WEEKDAY(DATE((Setup!$B$8+1),3,AD$4)),"Su","Mo","Tu","We","Th","Fr","Sa"))</f>
        <v>Su</v>
      </c>
      <c r="AE5" s="17" t="str">
        <f>IF(AE$4="","",CHOOSE(WEEKDAY(DATE((Setup!$B$8+1),3,AE$4)),"Su","Mo","Tu","We","Th","Fr","Sa"))</f>
        <v>Mo</v>
      </c>
      <c r="AF5" s="17" t="str">
        <f>IF(AF$4="","",CHOOSE(WEEKDAY(DATE((Setup!$B$8+1),3,AF$4)),"Su","Mo","Tu","We","Th","Fr","Sa"))</f>
        <v>Tu</v>
      </c>
      <c r="AG5" s="17" t="str">
        <f>IF(AG$4="","",CHOOSE(WEEKDAY(DATE((Setup!$B$8+1),3,AG$4)),"Su","Mo","Tu","We","Th","Fr","Sa"))</f>
        <v>We</v>
      </c>
      <c r="AH5" s="10"/>
      <c r="AI5" s="10"/>
      <c r="AJ5" s="10"/>
      <c r="AK5" s="10"/>
      <c r="AL5" s="10"/>
    </row>
    <row r="6" spans="1:38" x14ac:dyDescent="0.25">
      <c r="A6" s="18">
        <f>IF(Setup!B19="","",Setup!A19)</f>
        <v>1</v>
      </c>
      <c r="B6" s="19" t="str">
        <f>IF(Setup!B19="","",Setup!B19)</f>
        <v>Aarav Sharma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1">
        <f>IF($B6="","",COUNTIF(C6:AG6,"P"))</f>
        <v>0</v>
      </c>
      <c r="AI6" s="21">
        <f>IF($B6="","",COUNTIF(C6:AG6,"A"))</f>
        <v>0</v>
      </c>
      <c r="AJ6" s="21">
        <f>IF($B6="","",COUNTIF(C6:AG6,"L"))</f>
        <v>0</v>
      </c>
      <c r="AK6" s="21">
        <f>IF($B6="","",AH6+AI6+AJ6)</f>
        <v>0</v>
      </c>
      <c r="AL6" s="22" t="str">
        <f>IF(N(AK6)=0,"",AH6/AK6)</f>
        <v/>
      </c>
    </row>
    <row r="7" spans="1:38" x14ac:dyDescent="0.25">
      <c r="A7" s="18">
        <f>IF(Setup!B20="","",Setup!A20)</f>
        <v>2</v>
      </c>
      <c r="B7" s="19" t="str">
        <f>IF(Setup!B20="","",Setup!B20)</f>
        <v>Ananya Iyer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1">
        <f>IF($B7="","",COUNTIF(C7:AG7,"P"))</f>
        <v>0</v>
      </c>
      <c r="AI7" s="21">
        <f>IF($B7="","",COUNTIF(C7:AG7,"A"))</f>
        <v>0</v>
      </c>
      <c r="AJ7" s="21">
        <f>IF($B7="","",COUNTIF(C7:AG7,"L"))</f>
        <v>0</v>
      </c>
      <c r="AK7" s="21">
        <f>IF($B7="","",AH7+AI7+AJ7)</f>
        <v>0</v>
      </c>
      <c r="AL7" s="22" t="str">
        <f>IF(N(AK7)=0,"",AH7/AK7)</f>
        <v/>
      </c>
    </row>
    <row r="8" spans="1:38" x14ac:dyDescent="0.25">
      <c r="A8" s="18">
        <f>IF(Setup!B21="","",Setup!A21)</f>
        <v>3</v>
      </c>
      <c r="B8" s="19" t="str">
        <f>IF(Setup!B21="","",Setup!B21)</f>
        <v>Diya Menon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1">
        <f>IF($B8="","",COUNTIF(C8:AG8,"P"))</f>
        <v>0</v>
      </c>
      <c r="AI8" s="21">
        <f>IF($B8="","",COUNTIF(C8:AG8,"A"))</f>
        <v>0</v>
      </c>
      <c r="AJ8" s="21">
        <f>IF($B8="","",COUNTIF(C8:AG8,"L"))</f>
        <v>0</v>
      </c>
      <c r="AK8" s="21">
        <f>IF($B8="","",AH8+AI8+AJ8)</f>
        <v>0</v>
      </c>
      <c r="AL8" s="22" t="str">
        <f>IF(N(AK8)=0,"",AH8/AK8)</f>
        <v/>
      </c>
    </row>
    <row r="9" spans="1:38" x14ac:dyDescent="0.25">
      <c r="A9" s="18">
        <f>IF(Setup!B22="","",Setup!A22)</f>
        <v>4</v>
      </c>
      <c r="B9" s="19" t="str">
        <f>IF(Setup!B22="","",Setup!B22)</f>
        <v>Ishaan Patel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1">
        <f>IF($B9="","",COUNTIF(C9:AG9,"P"))</f>
        <v>0</v>
      </c>
      <c r="AI9" s="21">
        <f>IF($B9="","",COUNTIF(C9:AG9,"A"))</f>
        <v>0</v>
      </c>
      <c r="AJ9" s="21">
        <f>IF($B9="","",COUNTIF(C9:AG9,"L"))</f>
        <v>0</v>
      </c>
      <c r="AK9" s="21">
        <f>IF($B9="","",AH9+AI9+AJ9)</f>
        <v>0</v>
      </c>
      <c r="AL9" s="22" t="str">
        <f>IF(N(AK9)=0,"",AH9/AK9)</f>
        <v/>
      </c>
    </row>
    <row r="10" spans="1:38" x14ac:dyDescent="0.25">
      <c r="A10" s="18">
        <f>IF(Setup!B23="","",Setup!A23)</f>
        <v>5</v>
      </c>
      <c r="B10" s="19" t="str">
        <f>IF(Setup!B23="","",Setup!B23)</f>
        <v>Meera Reddy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1">
        <f>IF($B10="","",COUNTIF(C10:AG10,"P"))</f>
        <v>0</v>
      </c>
      <c r="AI10" s="21">
        <f>IF($B10="","",COUNTIF(C10:AG10,"A"))</f>
        <v>0</v>
      </c>
      <c r="AJ10" s="21">
        <f>IF($B10="","",COUNTIF(C10:AG10,"L"))</f>
        <v>0</v>
      </c>
      <c r="AK10" s="21">
        <f>IF($B10="","",AH10+AI10+AJ10)</f>
        <v>0</v>
      </c>
      <c r="AL10" s="22" t="str">
        <f>IF(N(AK10)=0,"",AH10/AK10)</f>
        <v/>
      </c>
    </row>
    <row r="11" spans="1:38" x14ac:dyDescent="0.25">
      <c r="A11" s="18">
        <f>IF(Setup!B24="","",Setup!A24)</f>
        <v>6</v>
      </c>
      <c r="B11" s="19" t="str">
        <f>IF(Setup!B24="","",Setup!B24)</f>
        <v>Rohan Das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1">
        <f>IF($B11="","",COUNTIF(C11:AG11,"P"))</f>
        <v>0</v>
      </c>
      <c r="AI11" s="21">
        <f>IF($B11="","",COUNTIF(C11:AG11,"A"))</f>
        <v>0</v>
      </c>
      <c r="AJ11" s="21">
        <f>IF($B11="","",COUNTIF(C11:AG11,"L"))</f>
        <v>0</v>
      </c>
      <c r="AK11" s="21">
        <f>IF($B11="","",AH11+AI11+AJ11)</f>
        <v>0</v>
      </c>
      <c r="AL11" s="22" t="str">
        <f>IF(N(AK11)=0,"",AH11/AK11)</f>
        <v/>
      </c>
    </row>
    <row r="12" spans="1:38" x14ac:dyDescent="0.25">
      <c r="A12" s="18">
        <f>IF(Setup!B25="","",Setup!A25)</f>
        <v>7</v>
      </c>
      <c r="B12" s="19" t="str">
        <f>IF(Setup!B25="","",Setup!B25)</f>
        <v>Sara Khan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>
        <f>IF($B12="","",COUNTIF(C12:AG12,"P"))</f>
        <v>0</v>
      </c>
      <c r="AI12" s="21">
        <f>IF($B12="","",COUNTIF(C12:AG12,"A"))</f>
        <v>0</v>
      </c>
      <c r="AJ12" s="21">
        <f>IF($B12="","",COUNTIF(C12:AG12,"L"))</f>
        <v>0</v>
      </c>
      <c r="AK12" s="21">
        <f>IF($B12="","",AH12+AI12+AJ12)</f>
        <v>0</v>
      </c>
      <c r="AL12" s="22" t="str">
        <f>IF(N(AK12)=0,"",AH12/AK12)</f>
        <v/>
      </c>
    </row>
    <row r="13" spans="1:38" x14ac:dyDescent="0.25">
      <c r="A13" s="18">
        <f>IF(Setup!B26="","",Setup!A26)</f>
        <v>8</v>
      </c>
      <c r="B13" s="19" t="str">
        <f>IF(Setup!B26="","",Setup!B26)</f>
        <v>Vihaan Gupta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1">
        <f>IF($B13="","",COUNTIF(C13:AG13,"P"))</f>
        <v>0</v>
      </c>
      <c r="AI13" s="21">
        <f>IF($B13="","",COUNTIF(C13:AG13,"A"))</f>
        <v>0</v>
      </c>
      <c r="AJ13" s="21">
        <f>IF($B13="","",COUNTIF(C13:AG13,"L"))</f>
        <v>0</v>
      </c>
      <c r="AK13" s="21">
        <f>IF($B13="","",AH13+AI13+AJ13)</f>
        <v>0</v>
      </c>
      <c r="AL13" s="22" t="str">
        <f>IF(N(AK13)=0,"",AH13/AK13)</f>
        <v/>
      </c>
    </row>
    <row r="14" spans="1:38" x14ac:dyDescent="0.25">
      <c r="A14" s="18" t="str">
        <f>IF(Setup!B27="","",Setup!A27)</f>
        <v/>
      </c>
      <c r="B14" s="19" t="str">
        <f>IF(Setup!B27="","",Setup!B27)</f>
        <v/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1" t="str">
        <f>IF($B14="","",COUNTIF(C14:AG14,"P"))</f>
        <v/>
      </c>
      <c r="AI14" s="21" t="str">
        <f>IF($B14="","",COUNTIF(C14:AG14,"A"))</f>
        <v/>
      </c>
      <c r="AJ14" s="21" t="str">
        <f>IF($B14="","",COUNTIF(C14:AG14,"L"))</f>
        <v/>
      </c>
      <c r="AK14" s="21" t="str">
        <f>IF($B14="","",AH14+AI14+AJ14)</f>
        <v/>
      </c>
      <c r="AL14" s="22" t="str">
        <f>IF(N(AK14)=0,"",AH14/AK14)</f>
        <v/>
      </c>
    </row>
    <row r="15" spans="1:38" x14ac:dyDescent="0.25">
      <c r="A15" s="18" t="str">
        <f>IF(Setup!B28="","",Setup!A28)</f>
        <v/>
      </c>
      <c r="B15" s="19" t="str">
        <f>IF(Setup!B28="","",Setup!B28)</f>
        <v/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1" t="str">
        <f>IF($B15="","",COUNTIF(C15:AG15,"P"))</f>
        <v/>
      </c>
      <c r="AI15" s="21" t="str">
        <f>IF($B15="","",COUNTIF(C15:AG15,"A"))</f>
        <v/>
      </c>
      <c r="AJ15" s="21" t="str">
        <f>IF($B15="","",COUNTIF(C15:AG15,"L"))</f>
        <v/>
      </c>
      <c r="AK15" s="21" t="str">
        <f>IF($B15="","",AH15+AI15+AJ15)</f>
        <v/>
      </c>
      <c r="AL15" s="22" t="str">
        <f>IF(N(AK15)=0,"",AH15/AK15)</f>
        <v/>
      </c>
    </row>
    <row r="16" spans="1:38" x14ac:dyDescent="0.25">
      <c r="A16" s="18" t="str">
        <f>IF(Setup!B29="","",Setup!A29)</f>
        <v/>
      </c>
      <c r="B16" s="19" t="str">
        <f>IF(Setup!B29="","",Setup!B29)</f>
        <v/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 t="str">
        <f>IF($B16="","",COUNTIF(C16:AG16,"P"))</f>
        <v/>
      </c>
      <c r="AI16" s="21" t="str">
        <f>IF($B16="","",COUNTIF(C16:AG16,"A"))</f>
        <v/>
      </c>
      <c r="AJ16" s="21" t="str">
        <f>IF($B16="","",COUNTIF(C16:AG16,"L"))</f>
        <v/>
      </c>
      <c r="AK16" s="21" t="str">
        <f>IF($B16="","",AH16+AI16+AJ16)</f>
        <v/>
      </c>
      <c r="AL16" s="22" t="str">
        <f>IF(N(AK16)=0,"",AH16/AK16)</f>
        <v/>
      </c>
    </row>
    <row r="17" spans="1:38" x14ac:dyDescent="0.25">
      <c r="A17" s="18" t="str">
        <f>IF(Setup!B30="","",Setup!A30)</f>
        <v/>
      </c>
      <c r="B17" s="19" t="str">
        <f>IF(Setup!B30="","",Setup!B30)</f>
        <v/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 t="str">
        <f>IF($B17="","",COUNTIF(C17:AG17,"P"))</f>
        <v/>
      </c>
      <c r="AI17" s="21" t="str">
        <f>IF($B17="","",COUNTIF(C17:AG17,"A"))</f>
        <v/>
      </c>
      <c r="AJ17" s="21" t="str">
        <f>IF($B17="","",COUNTIF(C17:AG17,"L"))</f>
        <v/>
      </c>
      <c r="AK17" s="21" t="str">
        <f>IF($B17="","",AH17+AI17+AJ17)</f>
        <v/>
      </c>
      <c r="AL17" s="22" t="str">
        <f>IF(N(AK17)=0,"",AH17/AK17)</f>
        <v/>
      </c>
    </row>
    <row r="18" spans="1:38" x14ac:dyDescent="0.25">
      <c r="A18" s="18" t="str">
        <f>IF(Setup!B31="","",Setup!A31)</f>
        <v/>
      </c>
      <c r="B18" s="19" t="str">
        <f>IF(Setup!B31="","",Setup!B31)</f>
        <v/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1" t="str">
        <f>IF($B18="","",COUNTIF(C18:AG18,"P"))</f>
        <v/>
      </c>
      <c r="AI18" s="21" t="str">
        <f>IF($B18="","",COUNTIF(C18:AG18,"A"))</f>
        <v/>
      </c>
      <c r="AJ18" s="21" t="str">
        <f>IF($B18="","",COUNTIF(C18:AG18,"L"))</f>
        <v/>
      </c>
      <c r="AK18" s="21" t="str">
        <f>IF($B18="","",AH18+AI18+AJ18)</f>
        <v/>
      </c>
      <c r="AL18" s="22" t="str">
        <f>IF(N(AK18)=0,"",AH18/AK18)</f>
        <v/>
      </c>
    </row>
    <row r="19" spans="1:38" x14ac:dyDescent="0.25">
      <c r="A19" s="18" t="str">
        <f>IF(Setup!B32="","",Setup!A32)</f>
        <v/>
      </c>
      <c r="B19" s="19" t="str">
        <f>IF(Setup!B32="","",Setup!B32)</f>
        <v/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1" t="str">
        <f>IF($B19="","",COUNTIF(C19:AG19,"P"))</f>
        <v/>
      </c>
      <c r="AI19" s="21" t="str">
        <f>IF($B19="","",COUNTIF(C19:AG19,"A"))</f>
        <v/>
      </c>
      <c r="AJ19" s="21" t="str">
        <f>IF($B19="","",COUNTIF(C19:AG19,"L"))</f>
        <v/>
      </c>
      <c r="AK19" s="21" t="str">
        <f>IF($B19="","",AH19+AI19+AJ19)</f>
        <v/>
      </c>
      <c r="AL19" s="22" t="str">
        <f>IF(N(AK19)=0,"",AH19/AK19)</f>
        <v/>
      </c>
    </row>
    <row r="20" spans="1:38" x14ac:dyDescent="0.25">
      <c r="A20" s="18" t="str">
        <f>IF(Setup!B33="","",Setup!A33)</f>
        <v/>
      </c>
      <c r="B20" s="19" t="str">
        <f>IF(Setup!B33="","",Setup!B33)</f>
        <v/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1" t="str">
        <f>IF($B20="","",COUNTIF(C20:AG20,"P"))</f>
        <v/>
      </c>
      <c r="AI20" s="21" t="str">
        <f>IF($B20="","",COUNTIF(C20:AG20,"A"))</f>
        <v/>
      </c>
      <c r="AJ20" s="21" t="str">
        <f>IF($B20="","",COUNTIF(C20:AG20,"L"))</f>
        <v/>
      </c>
      <c r="AK20" s="21" t="str">
        <f>IF($B20="","",AH20+AI20+AJ20)</f>
        <v/>
      </c>
      <c r="AL20" s="22" t="str">
        <f>IF(N(AK20)=0,"",AH20/AK20)</f>
        <v/>
      </c>
    </row>
    <row r="21" spans="1:38" x14ac:dyDescent="0.25">
      <c r="A21" s="18" t="str">
        <f>IF(Setup!B34="","",Setup!A34)</f>
        <v/>
      </c>
      <c r="B21" s="19" t="str">
        <f>IF(Setup!B34="","",Setup!B34)</f>
        <v/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 t="str">
        <f>IF($B21="","",COUNTIF(C21:AG21,"P"))</f>
        <v/>
      </c>
      <c r="AI21" s="21" t="str">
        <f>IF($B21="","",COUNTIF(C21:AG21,"A"))</f>
        <v/>
      </c>
      <c r="AJ21" s="21" t="str">
        <f>IF($B21="","",COUNTIF(C21:AG21,"L"))</f>
        <v/>
      </c>
      <c r="AK21" s="21" t="str">
        <f>IF($B21="","",AH21+AI21+AJ21)</f>
        <v/>
      </c>
      <c r="AL21" s="22" t="str">
        <f>IF(N(AK21)=0,"",AH21/AK21)</f>
        <v/>
      </c>
    </row>
    <row r="22" spans="1:38" x14ac:dyDescent="0.25">
      <c r="A22" s="18" t="str">
        <f>IF(Setup!B35="","",Setup!A35)</f>
        <v/>
      </c>
      <c r="B22" s="19" t="str">
        <f>IF(Setup!B35="","",Setup!B35)</f>
        <v/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 t="str">
        <f>IF($B22="","",COUNTIF(C22:AG22,"P"))</f>
        <v/>
      </c>
      <c r="AI22" s="21" t="str">
        <f>IF($B22="","",COUNTIF(C22:AG22,"A"))</f>
        <v/>
      </c>
      <c r="AJ22" s="21" t="str">
        <f>IF($B22="","",COUNTIF(C22:AG22,"L"))</f>
        <v/>
      </c>
      <c r="AK22" s="21" t="str">
        <f>IF($B22="","",AH22+AI22+AJ22)</f>
        <v/>
      </c>
      <c r="AL22" s="22" t="str">
        <f>IF(N(AK22)=0,"",AH22/AK22)</f>
        <v/>
      </c>
    </row>
    <row r="23" spans="1:38" x14ac:dyDescent="0.25">
      <c r="A23" s="18" t="str">
        <f>IF(Setup!B36="","",Setup!A36)</f>
        <v/>
      </c>
      <c r="B23" s="19" t="str">
        <f>IF(Setup!B36="","",Setup!B36)</f>
        <v/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1" t="str">
        <f>IF($B23="","",COUNTIF(C23:AG23,"P"))</f>
        <v/>
      </c>
      <c r="AI23" s="21" t="str">
        <f>IF($B23="","",COUNTIF(C23:AG23,"A"))</f>
        <v/>
      </c>
      <c r="AJ23" s="21" t="str">
        <f>IF($B23="","",COUNTIF(C23:AG23,"L"))</f>
        <v/>
      </c>
      <c r="AK23" s="21" t="str">
        <f>IF($B23="","",AH23+AI23+AJ23)</f>
        <v/>
      </c>
      <c r="AL23" s="22" t="str">
        <f>IF(N(AK23)=0,"",AH23/AK23)</f>
        <v/>
      </c>
    </row>
    <row r="24" spans="1:38" x14ac:dyDescent="0.25">
      <c r="A24" s="18" t="str">
        <f>IF(Setup!B37="","",Setup!A37)</f>
        <v/>
      </c>
      <c r="B24" s="19" t="str">
        <f>IF(Setup!B37="","",Setup!B37)</f>
        <v/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1" t="str">
        <f>IF($B24="","",COUNTIF(C24:AG24,"P"))</f>
        <v/>
      </c>
      <c r="AI24" s="21" t="str">
        <f>IF($B24="","",COUNTIF(C24:AG24,"A"))</f>
        <v/>
      </c>
      <c r="AJ24" s="21" t="str">
        <f>IF($B24="","",COUNTIF(C24:AG24,"L"))</f>
        <v/>
      </c>
      <c r="AK24" s="21" t="str">
        <f>IF($B24="","",AH24+AI24+AJ24)</f>
        <v/>
      </c>
      <c r="AL24" s="22" t="str">
        <f>IF(N(AK24)=0,"",AH24/AK24)</f>
        <v/>
      </c>
    </row>
    <row r="25" spans="1:38" x14ac:dyDescent="0.25">
      <c r="A25" s="18" t="str">
        <f>IF(Setup!B38="","",Setup!A38)</f>
        <v/>
      </c>
      <c r="B25" s="19" t="str">
        <f>IF(Setup!B38="","",Setup!B38)</f>
        <v/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1" t="str">
        <f>IF($B25="","",COUNTIF(C25:AG25,"P"))</f>
        <v/>
      </c>
      <c r="AI25" s="21" t="str">
        <f>IF($B25="","",COUNTIF(C25:AG25,"A"))</f>
        <v/>
      </c>
      <c r="AJ25" s="21" t="str">
        <f>IF($B25="","",COUNTIF(C25:AG25,"L"))</f>
        <v/>
      </c>
      <c r="AK25" s="21" t="str">
        <f>IF($B25="","",AH25+AI25+AJ25)</f>
        <v/>
      </c>
      <c r="AL25" s="22" t="str">
        <f>IF(N(AK25)=0,"",AH25/AK25)</f>
        <v/>
      </c>
    </row>
    <row r="26" spans="1:38" x14ac:dyDescent="0.25">
      <c r="A26" s="18" t="str">
        <f>IF(Setup!B39="","",Setup!A39)</f>
        <v/>
      </c>
      <c r="B26" s="19" t="str">
        <f>IF(Setup!B39="","",Setup!B39)</f>
        <v/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tr">
        <f>IF($B26="","",COUNTIF(C26:AG26,"P"))</f>
        <v/>
      </c>
      <c r="AI26" s="21" t="str">
        <f>IF($B26="","",COUNTIF(C26:AG26,"A"))</f>
        <v/>
      </c>
      <c r="AJ26" s="21" t="str">
        <f>IF($B26="","",COUNTIF(C26:AG26,"L"))</f>
        <v/>
      </c>
      <c r="AK26" s="21" t="str">
        <f>IF($B26="","",AH26+AI26+AJ26)</f>
        <v/>
      </c>
      <c r="AL26" s="22" t="str">
        <f>IF(N(AK26)=0,"",AH26/AK26)</f>
        <v/>
      </c>
    </row>
    <row r="27" spans="1:38" x14ac:dyDescent="0.25">
      <c r="A27" s="18" t="str">
        <f>IF(Setup!B40="","",Setup!A40)</f>
        <v/>
      </c>
      <c r="B27" s="19" t="str">
        <f>IF(Setup!B40="","",Setup!B40)</f>
        <v/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 t="str">
        <f>IF($B27="","",COUNTIF(C27:AG27,"P"))</f>
        <v/>
      </c>
      <c r="AI27" s="21" t="str">
        <f>IF($B27="","",COUNTIF(C27:AG27,"A"))</f>
        <v/>
      </c>
      <c r="AJ27" s="21" t="str">
        <f>IF($B27="","",COUNTIF(C27:AG27,"L"))</f>
        <v/>
      </c>
      <c r="AK27" s="21" t="str">
        <f>IF($B27="","",AH27+AI27+AJ27)</f>
        <v/>
      </c>
      <c r="AL27" s="22" t="str">
        <f>IF(N(AK27)=0,"",AH27/AK27)</f>
        <v/>
      </c>
    </row>
    <row r="28" spans="1:38" x14ac:dyDescent="0.25">
      <c r="A28" s="18" t="str">
        <f>IF(Setup!B41="","",Setup!A41)</f>
        <v/>
      </c>
      <c r="B28" s="19" t="str">
        <f>IF(Setup!B41="","",Setup!B41)</f>
        <v/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1" t="str">
        <f>IF($B28="","",COUNTIF(C28:AG28,"P"))</f>
        <v/>
      </c>
      <c r="AI28" s="21" t="str">
        <f>IF($B28="","",COUNTIF(C28:AG28,"A"))</f>
        <v/>
      </c>
      <c r="AJ28" s="21" t="str">
        <f>IF($B28="","",COUNTIF(C28:AG28,"L"))</f>
        <v/>
      </c>
      <c r="AK28" s="21" t="str">
        <f>IF($B28="","",AH28+AI28+AJ28)</f>
        <v/>
      </c>
      <c r="AL28" s="22" t="str">
        <f>IF(N(AK28)=0,"",AH28/AK28)</f>
        <v/>
      </c>
    </row>
    <row r="29" spans="1:38" x14ac:dyDescent="0.25">
      <c r="A29" s="18" t="str">
        <f>IF(Setup!B42="","",Setup!A42)</f>
        <v/>
      </c>
      <c r="B29" s="19" t="str">
        <f>IF(Setup!B42="","",Setup!B42)</f>
        <v/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 t="str">
        <f>IF($B29="","",COUNTIF(C29:AG29,"P"))</f>
        <v/>
      </c>
      <c r="AI29" s="21" t="str">
        <f>IF($B29="","",COUNTIF(C29:AG29,"A"))</f>
        <v/>
      </c>
      <c r="AJ29" s="21" t="str">
        <f>IF($B29="","",COUNTIF(C29:AG29,"L"))</f>
        <v/>
      </c>
      <c r="AK29" s="21" t="str">
        <f>IF($B29="","",AH29+AI29+AJ29)</f>
        <v/>
      </c>
      <c r="AL29" s="22" t="str">
        <f>IF(N(AK29)=0,"",AH29/AK29)</f>
        <v/>
      </c>
    </row>
    <row r="30" spans="1:38" x14ac:dyDescent="0.25">
      <c r="A30" s="18" t="str">
        <f>IF(Setup!B43="","",Setup!A43)</f>
        <v/>
      </c>
      <c r="B30" s="19" t="str">
        <f>IF(Setup!B43="","",Setup!B43)</f>
        <v/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1" t="str">
        <f>IF($B30="","",COUNTIF(C30:AG30,"P"))</f>
        <v/>
      </c>
      <c r="AI30" s="21" t="str">
        <f>IF($B30="","",COUNTIF(C30:AG30,"A"))</f>
        <v/>
      </c>
      <c r="AJ30" s="21" t="str">
        <f>IF($B30="","",COUNTIF(C30:AG30,"L"))</f>
        <v/>
      </c>
      <c r="AK30" s="21" t="str">
        <f>IF($B30="","",AH30+AI30+AJ30)</f>
        <v/>
      </c>
      <c r="AL30" s="22" t="str">
        <f>IF(N(AK30)=0,"",AH30/AK30)</f>
        <v/>
      </c>
    </row>
    <row r="31" spans="1:38" x14ac:dyDescent="0.25">
      <c r="A31" s="18" t="str">
        <f>IF(Setup!B44="","",Setup!A44)</f>
        <v/>
      </c>
      <c r="B31" s="19" t="str">
        <f>IF(Setup!B44="","",Setup!B44)</f>
        <v/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 t="str">
        <f>IF($B31="","",COUNTIF(C31:AG31,"P"))</f>
        <v/>
      </c>
      <c r="AI31" s="21" t="str">
        <f>IF($B31="","",COUNTIF(C31:AG31,"A"))</f>
        <v/>
      </c>
      <c r="AJ31" s="21" t="str">
        <f>IF($B31="","",COUNTIF(C31:AG31,"L"))</f>
        <v/>
      </c>
      <c r="AK31" s="21" t="str">
        <f>IF($B31="","",AH31+AI31+AJ31)</f>
        <v/>
      </c>
      <c r="AL31" s="22" t="str">
        <f>IF(N(AK31)=0,"",AH31/AK31)</f>
        <v/>
      </c>
    </row>
    <row r="32" spans="1:38" x14ac:dyDescent="0.25">
      <c r="A32" s="18" t="str">
        <f>IF(Setup!B45="","",Setup!A45)</f>
        <v/>
      </c>
      <c r="B32" s="19" t="str">
        <f>IF(Setup!B45="","",Setup!B45)</f>
        <v/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 t="str">
        <f>IF($B32="","",COUNTIF(C32:AG32,"P"))</f>
        <v/>
      </c>
      <c r="AI32" s="21" t="str">
        <f>IF($B32="","",COUNTIF(C32:AG32,"A"))</f>
        <v/>
      </c>
      <c r="AJ32" s="21" t="str">
        <f>IF($B32="","",COUNTIF(C32:AG32,"L"))</f>
        <v/>
      </c>
      <c r="AK32" s="21" t="str">
        <f>IF($B32="","",AH32+AI32+AJ32)</f>
        <v/>
      </c>
      <c r="AL32" s="22" t="str">
        <f>IF(N(AK32)=0,"",AH32/AK32)</f>
        <v/>
      </c>
    </row>
    <row r="33" spans="1:38" x14ac:dyDescent="0.25">
      <c r="A33" s="18" t="str">
        <f>IF(Setup!B46="","",Setup!A46)</f>
        <v/>
      </c>
      <c r="B33" s="19" t="str">
        <f>IF(Setup!B46="","",Setup!B46)</f>
        <v/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 t="str">
        <f>IF($B33="","",COUNTIF(C33:AG33,"P"))</f>
        <v/>
      </c>
      <c r="AI33" s="21" t="str">
        <f>IF($B33="","",COUNTIF(C33:AG33,"A"))</f>
        <v/>
      </c>
      <c r="AJ33" s="21" t="str">
        <f>IF($B33="","",COUNTIF(C33:AG33,"L"))</f>
        <v/>
      </c>
      <c r="AK33" s="21" t="str">
        <f>IF($B33="","",AH33+AI33+AJ33)</f>
        <v/>
      </c>
      <c r="AL33" s="22" t="str">
        <f>IF(N(AK33)=0,"",AH33/AK33)</f>
        <v/>
      </c>
    </row>
    <row r="34" spans="1:38" x14ac:dyDescent="0.25">
      <c r="A34" s="18" t="str">
        <f>IF(Setup!B47="","",Setup!A47)</f>
        <v/>
      </c>
      <c r="B34" s="19" t="str">
        <f>IF(Setup!B47="","",Setup!B47)</f>
        <v/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1" t="str">
        <f>IF($B34="","",COUNTIF(C34:AG34,"P"))</f>
        <v/>
      </c>
      <c r="AI34" s="21" t="str">
        <f>IF($B34="","",COUNTIF(C34:AG34,"A"))</f>
        <v/>
      </c>
      <c r="AJ34" s="21" t="str">
        <f>IF($B34="","",COUNTIF(C34:AG34,"L"))</f>
        <v/>
      </c>
      <c r="AK34" s="21" t="str">
        <f>IF($B34="","",AH34+AI34+AJ34)</f>
        <v/>
      </c>
      <c r="AL34" s="22" t="str">
        <f>IF(N(AK34)=0,"",AH34/AK34)</f>
        <v/>
      </c>
    </row>
    <row r="35" spans="1:38" x14ac:dyDescent="0.25">
      <c r="A35" s="18" t="str">
        <f>IF(Setup!B48="","",Setup!A48)</f>
        <v/>
      </c>
      <c r="B35" s="19" t="str">
        <f>IF(Setup!B48="","",Setup!B48)</f>
        <v/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 t="str">
        <f>IF($B35="","",COUNTIF(C35:AG35,"P"))</f>
        <v/>
      </c>
      <c r="AI35" s="21" t="str">
        <f>IF($B35="","",COUNTIF(C35:AG35,"A"))</f>
        <v/>
      </c>
      <c r="AJ35" s="21" t="str">
        <f>IF($B35="","",COUNTIF(C35:AG35,"L"))</f>
        <v/>
      </c>
      <c r="AK35" s="21" t="str">
        <f>IF($B35="","",AH35+AI35+AJ35)</f>
        <v/>
      </c>
      <c r="AL35" s="22" t="str">
        <f>IF(N(AK35)=0,"",AH35/AK35)</f>
        <v/>
      </c>
    </row>
    <row r="36" spans="1:38" x14ac:dyDescent="0.25">
      <c r="A36" s="18" t="str">
        <f>IF(Setup!B49="","",Setup!A49)</f>
        <v/>
      </c>
      <c r="B36" s="19" t="str">
        <f>IF(Setup!B49="","",Setup!B49)</f>
        <v/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1" t="str">
        <f>IF($B36="","",COUNTIF(C36:AG36,"P"))</f>
        <v/>
      </c>
      <c r="AI36" s="21" t="str">
        <f>IF($B36="","",COUNTIF(C36:AG36,"A"))</f>
        <v/>
      </c>
      <c r="AJ36" s="21" t="str">
        <f>IF($B36="","",COUNTIF(C36:AG36,"L"))</f>
        <v/>
      </c>
      <c r="AK36" s="21" t="str">
        <f>IF($B36="","",AH36+AI36+AJ36)</f>
        <v/>
      </c>
      <c r="AL36" s="22" t="str">
        <f>IF(N(AK36)=0,"",AH36/AK36)</f>
        <v/>
      </c>
    </row>
    <row r="37" spans="1:38" x14ac:dyDescent="0.25">
      <c r="A37" s="18" t="str">
        <f>IF(Setup!B50="","",Setup!A50)</f>
        <v/>
      </c>
      <c r="B37" s="19" t="str">
        <f>IF(Setup!B50="","",Setup!B50)</f>
        <v/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 t="str">
        <f>IF($B37="","",COUNTIF(C37:AG37,"P"))</f>
        <v/>
      </c>
      <c r="AI37" s="21" t="str">
        <f>IF($B37="","",COUNTIF(C37:AG37,"A"))</f>
        <v/>
      </c>
      <c r="AJ37" s="21" t="str">
        <f>IF($B37="","",COUNTIF(C37:AG37,"L"))</f>
        <v/>
      </c>
      <c r="AK37" s="21" t="str">
        <f>IF($B37="","",AH37+AI37+AJ37)</f>
        <v/>
      </c>
      <c r="AL37" s="22" t="str">
        <f>IF(N(AK37)=0,"",AH37/AK37)</f>
        <v/>
      </c>
    </row>
    <row r="38" spans="1:38" x14ac:dyDescent="0.25">
      <c r="A38" s="18" t="str">
        <f>IF(Setup!B51="","",Setup!A51)</f>
        <v/>
      </c>
      <c r="B38" s="19" t="str">
        <f>IF(Setup!B51="","",Setup!B51)</f>
        <v/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1" t="str">
        <f>IF($B38="","",COUNTIF(C38:AG38,"P"))</f>
        <v/>
      </c>
      <c r="AI38" s="21" t="str">
        <f>IF($B38="","",COUNTIF(C38:AG38,"A"))</f>
        <v/>
      </c>
      <c r="AJ38" s="21" t="str">
        <f>IF($B38="","",COUNTIF(C38:AG38,"L"))</f>
        <v/>
      </c>
      <c r="AK38" s="21" t="str">
        <f>IF($B38="","",AH38+AI38+AJ38)</f>
        <v/>
      </c>
      <c r="AL38" s="22" t="str">
        <f>IF(N(AK38)=0,"",AH38/AK38)</f>
        <v/>
      </c>
    </row>
    <row r="39" spans="1:38" x14ac:dyDescent="0.25">
      <c r="A39" s="18" t="str">
        <f>IF(Setup!B52="","",Setup!A52)</f>
        <v/>
      </c>
      <c r="B39" s="19" t="str">
        <f>IF(Setup!B52="","",Setup!B52)</f>
        <v/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 t="str">
        <f>IF($B39="","",COUNTIF(C39:AG39,"P"))</f>
        <v/>
      </c>
      <c r="AI39" s="21" t="str">
        <f>IF($B39="","",COUNTIF(C39:AG39,"A"))</f>
        <v/>
      </c>
      <c r="AJ39" s="21" t="str">
        <f>IF($B39="","",COUNTIF(C39:AG39,"L"))</f>
        <v/>
      </c>
      <c r="AK39" s="21" t="str">
        <f>IF($B39="","",AH39+AI39+AJ39)</f>
        <v/>
      </c>
      <c r="AL39" s="22" t="str">
        <f>IF(N(AK39)=0,"",AH39/AK39)</f>
        <v/>
      </c>
    </row>
    <row r="40" spans="1:38" x14ac:dyDescent="0.25">
      <c r="A40" s="18" t="str">
        <f>IF(Setup!B53="","",Setup!A53)</f>
        <v/>
      </c>
      <c r="B40" s="19" t="str">
        <f>IF(Setup!B53="","",Setup!B53)</f>
        <v/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1" t="str">
        <f>IF($B40="","",COUNTIF(C40:AG40,"P"))</f>
        <v/>
      </c>
      <c r="AI40" s="21" t="str">
        <f>IF($B40="","",COUNTIF(C40:AG40,"A"))</f>
        <v/>
      </c>
      <c r="AJ40" s="21" t="str">
        <f>IF($B40="","",COUNTIF(C40:AG40,"L"))</f>
        <v/>
      </c>
      <c r="AK40" s="21" t="str">
        <f>IF($B40="","",AH40+AI40+AJ40)</f>
        <v/>
      </c>
      <c r="AL40" s="22" t="str">
        <f>IF(N(AK40)=0,"",AH40/AK40)</f>
        <v/>
      </c>
    </row>
    <row r="41" spans="1:38" x14ac:dyDescent="0.25">
      <c r="A41" s="18" t="str">
        <f>IF(Setup!B54="","",Setup!A54)</f>
        <v/>
      </c>
      <c r="B41" s="19" t="str">
        <f>IF(Setup!B54="","",Setup!B54)</f>
        <v/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1" t="str">
        <f>IF($B41="","",COUNTIF(C41:AG41,"P"))</f>
        <v/>
      </c>
      <c r="AI41" s="21" t="str">
        <f>IF($B41="","",COUNTIF(C41:AG41,"A"))</f>
        <v/>
      </c>
      <c r="AJ41" s="21" t="str">
        <f>IF($B41="","",COUNTIF(C41:AG41,"L"))</f>
        <v/>
      </c>
      <c r="AK41" s="21" t="str">
        <f>IF($B41="","",AH41+AI41+AJ41)</f>
        <v/>
      </c>
      <c r="AL41" s="22" t="str">
        <f>IF(N(AK41)=0,"",AH41/AK41)</f>
        <v/>
      </c>
    </row>
    <row r="42" spans="1:38" x14ac:dyDescent="0.25">
      <c r="A42" s="18" t="str">
        <f>IF(Setup!B55="","",Setup!A55)</f>
        <v/>
      </c>
      <c r="B42" s="19" t="str">
        <f>IF(Setup!B55="","",Setup!B55)</f>
        <v/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1" t="str">
        <f>IF($B42="","",COUNTIF(C42:AG42,"P"))</f>
        <v/>
      </c>
      <c r="AI42" s="21" t="str">
        <f>IF($B42="","",COUNTIF(C42:AG42,"A"))</f>
        <v/>
      </c>
      <c r="AJ42" s="21" t="str">
        <f>IF($B42="","",COUNTIF(C42:AG42,"L"))</f>
        <v/>
      </c>
      <c r="AK42" s="21" t="str">
        <f>IF($B42="","",AH42+AI42+AJ42)</f>
        <v/>
      </c>
      <c r="AL42" s="22" t="str">
        <f>IF(N(AK42)=0,"",AH42/AK42)</f>
        <v/>
      </c>
    </row>
    <row r="43" spans="1:38" x14ac:dyDescent="0.25">
      <c r="A43" s="18" t="str">
        <f>IF(Setup!B56="","",Setup!A56)</f>
        <v/>
      </c>
      <c r="B43" s="19" t="str">
        <f>IF(Setup!B56="","",Setup!B56)</f>
        <v/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1" t="str">
        <f>IF($B43="","",COUNTIF(C43:AG43,"P"))</f>
        <v/>
      </c>
      <c r="AI43" s="21" t="str">
        <f>IF($B43="","",COUNTIF(C43:AG43,"A"))</f>
        <v/>
      </c>
      <c r="AJ43" s="21" t="str">
        <f>IF($B43="","",COUNTIF(C43:AG43,"L"))</f>
        <v/>
      </c>
      <c r="AK43" s="21" t="str">
        <f>IF($B43="","",AH43+AI43+AJ43)</f>
        <v/>
      </c>
      <c r="AL43" s="22" t="str">
        <f>IF(N(AK43)=0,"",AH43/AK43)</f>
        <v/>
      </c>
    </row>
    <row r="44" spans="1:38" x14ac:dyDescent="0.25">
      <c r="A44" s="18" t="str">
        <f>IF(Setup!B57="","",Setup!A57)</f>
        <v/>
      </c>
      <c r="B44" s="19" t="str">
        <f>IF(Setup!B57="","",Setup!B57)</f>
        <v/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1" t="str">
        <f>IF($B44="","",COUNTIF(C44:AG44,"P"))</f>
        <v/>
      </c>
      <c r="AI44" s="21" t="str">
        <f>IF($B44="","",COUNTIF(C44:AG44,"A"))</f>
        <v/>
      </c>
      <c r="AJ44" s="21" t="str">
        <f>IF($B44="","",COUNTIF(C44:AG44,"L"))</f>
        <v/>
      </c>
      <c r="AK44" s="21" t="str">
        <f>IF($B44="","",AH44+AI44+AJ44)</f>
        <v/>
      </c>
      <c r="AL44" s="22" t="str">
        <f>IF(N(AK44)=0,"",AH44/AK44)</f>
        <v/>
      </c>
    </row>
    <row r="45" spans="1:38" x14ac:dyDescent="0.25">
      <c r="A45" s="18" t="str">
        <f>IF(Setup!B58="","",Setup!A58)</f>
        <v/>
      </c>
      <c r="B45" s="19" t="str">
        <f>IF(Setup!B58="","",Setup!B58)</f>
        <v/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1" t="str">
        <f>IF($B45="","",COUNTIF(C45:AG45,"P"))</f>
        <v/>
      </c>
      <c r="AI45" s="21" t="str">
        <f>IF($B45="","",COUNTIF(C45:AG45,"A"))</f>
        <v/>
      </c>
      <c r="AJ45" s="21" t="str">
        <f>IF($B45="","",COUNTIF(C45:AG45,"L"))</f>
        <v/>
      </c>
      <c r="AK45" s="21" t="str">
        <f>IF($B45="","",AH45+AI45+AJ45)</f>
        <v/>
      </c>
      <c r="AL45" s="22" t="str">
        <f>IF(N(AK45)=0,"",AH45/AK45)</f>
        <v/>
      </c>
    </row>
    <row r="46" spans="1:38" x14ac:dyDescent="0.25">
      <c r="A46" s="18" t="str">
        <f>IF(Setup!B59="","",Setup!A59)</f>
        <v/>
      </c>
      <c r="B46" s="19" t="str">
        <f>IF(Setup!B59="","",Setup!B59)</f>
        <v/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1" t="str">
        <f>IF($B46="","",COUNTIF(C46:AG46,"P"))</f>
        <v/>
      </c>
      <c r="AI46" s="21" t="str">
        <f>IF($B46="","",COUNTIF(C46:AG46,"A"))</f>
        <v/>
      </c>
      <c r="AJ46" s="21" t="str">
        <f>IF($B46="","",COUNTIF(C46:AG46,"L"))</f>
        <v/>
      </c>
      <c r="AK46" s="21" t="str">
        <f>IF($B46="","",AH46+AI46+AJ46)</f>
        <v/>
      </c>
      <c r="AL46" s="22" t="str">
        <f>IF(N(AK46)=0,"",AH46/AK46)</f>
        <v/>
      </c>
    </row>
    <row r="47" spans="1:38" x14ac:dyDescent="0.25">
      <c r="A47" s="18" t="str">
        <f>IF(Setup!B60="","",Setup!A60)</f>
        <v/>
      </c>
      <c r="B47" s="19" t="str">
        <f>IF(Setup!B60="","",Setup!B60)</f>
        <v/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 t="str">
        <f>IF($B47="","",COUNTIF(C47:AG47,"P"))</f>
        <v/>
      </c>
      <c r="AI47" s="21" t="str">
        <f>IF($B47="","",COUNTIF(C47:AG47,"A"))</f>
        <v/>
      </c>
      <c r="AJ47" s="21" t="str">
        <f>IF($B47="","",COUNTIF(C47:AG47,"L"))</f>
        <v/>
      </c>
      <c r="AK47" s="21" t="str">
        <f>IF($B47="","",AH47+AI47+AJ47)</f>
        <v/>
      </c>
      <c r="AL47" s="22" t="str">
        <f>IF(N(AK47)=0,"",AH47/AK47)</f>
        <v/>
      </c>
    </row>
    <row r="48" spans="1:38" x14ac:dyDescent="0.25">
      <c r="A48" s="18" t="str">
        <f>IF(Setup!B61="","",Setup!A61)</f>
        <v/>
      </c>
      <c r="B48" s="19" t="str">
        <f>IF(Setup!B61="","",Setup!B61)</f>
        <v/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1" t="str">
        <f>IF($B48="","",COUNTIF(C48:AG48,"P"))</f>
        <v/>
      </c>
      <c r="AI48" s="21" t="str">
        <f>IF($B48="","",COUNTIF(C48:AG48,"A"))</f>
        <v/>
      </c>
      <c r="AJ48" s="21" t="str">
        <f>IF($B48="","",COUNTIF(C48:AG48,"L"))</f>
        <v/>
      </c>
      <c r="AK48" s="21" t="str">
        <f>IF($B48="","",AH48+AI48+AJ48)</f>
        <v/>
      </c>
      <c r="AL48" s="22" t="str">
        <f>IF(N(AK48)=0,"",AH48/AK48)</f>
        <v/>
      </c>
    </row>
    <row r="49" spans="1:38" x14ac:dyDescent="0.25">
      <c r="A49" s="18" t="str">
        <f>IF(Setup!B62="","",Setup!A62)</f>
        <v/>
      </c>
      <c r="B49" s="19" t="str">
        <f>IF(Setup!B62="","",Setup!B62)</f>
        <v/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1" t="str">
        <f>IF($B49="","",COUNTIF(C49:AG49,"P"))</f>
        <v/>
      </c>
      <c r="AI49" s="21" t="str">
        <f>IF($B49="","",COUNTIF(C49:AG49,"A"))</f>
        <v/>
      </c>
      <c r="AJ49" s="21" t="str">
        <f>IF($B49="","",COUNTIF(C49:AG49,"L"))</f>
        <v/>
      </c>
      <c r="AK49" s="21" t="str">
        <f>IF($B49="","",AH49+AI49+AJ49)</f>
        <v/>
      </c>
      <c r="AL49" s="22" t="str">
        <f>IF(N(AK49)=0,"",AH49/AK49)</f>
        <v/>
      </c>
    </row>
    <row r="50" spans="1:38" x14ac:dyDescent="0.25">
      <c r="A50" s="18" t="str">
        <f>IF(Setup!B63="","",Setup!A63)</f>
        <v/>
      </c>
      <c r="B50" s="19" t="str">
        <f>IF(Setup!B63="","",Setup!B63)</f>
        <v/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1" t="str">
        <f>IF($B50="","",COUNTIF(C50:AG50,"P"))</f>
        <v/>
      </c>
      <c r="AI50" s="21" t="str">
        <f>IF($B50="","",COUNTIF(C50:AG50,"A"))</f>
        <v/>
      </c>
      <c r="AJ50" s="21" t="str">
        <f>IF($B50="","",COUNTIF(C50:AG50,"L"))</f>
        <v/>
      </c>
      <c r="AK50" s="21" t="str">
        <f>IF($B50="","",AH50+AI50+AJ50)</f>
        <v/>
      </c>
      <c r="AL50" s="22" t="str">
        <f>IF(N(AK50)=0,"",AH50/AK50)</f>
        <v/>
      </c>
    </row>
    <row r="51" spans="1:38" x14ac:dyDescent="0.25">
      <c r="A51" s="18" t="str">
        <f>IF(Setup!B64="","",Setup!A64)</f>
        <v/>
      </c>
      <c r="B51" s="19" t="str">
        <f>IF(Setup!B64="","",Setup!B64)</f>
        <v/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1" t="str">
        <f>IF($B51="","",COUNTIF(C51:AG51,"P"))</f>
        <v/>
      </c>
      <c r="AI51" s="21" t="str">
        <f>IF($B51="","",COUNTIF(C51:AG51,"A"))</f>
        <v/>
      </c>
      <c r="AJ51" s="21" t="str">
        <f>IF($B51="","",COUNTIF(C51:AG51,"L"))</f>
        <v/>
      </c>
      <c r="AK51" s="21" t="str">
        <f>IF($B51="","",AH51+AI51+AJ51)</f>
        <v/>
      </c>
      <c r="AL51" s="22" t="str">
        <f>IF(N(AK51)=0,"",AH51/AK51)</f>
        <v/>
      </c>
    </row>
    <row r="52" spans="1:38" x14ac:dyDescent="0.25">
      <c r="A52" s="18" t="str">
        <f>IF(Setup!B65="","",Setup!A65)</f>
        <v/>
      </c>
      <c r="B52" s="19" t="str">
        <f>IF(Setup!B65="","",Setup!B65)</f>
        <v/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 t="str">
        <f>IF($B52="","",COUNTIF(C52:AG52,"P"))</f>
        <v/>
      </c>
      <c r="AI52" s="21" t="str">
        <f>IF($B52="","",COUNTIF(C52:AG52,"A"))</f>
        <v/>
      </c>
      <c r="AJ52" s="21" t="str">
        <f>IF($B52="","",COUNTIF(C52:AG52,"L"))</f>
        <v/>
      </c>
      <c r="AK52" s="21" t="str">
        <f>IF($B52="","",AH52+AI52+AJ52)</f>
        <v/>
      </c>
      <c r="AL52" s="22" t="str">
        <f>IF(N(AK52)=0,"",AH52/AK52)</f>
        <v/>
      </c>
    </row>
    <row r="53" spans="1:38" x14ac:dyDescent="0.25">
      <c r="A53" s="18" t="str">
        <f>IF(Setup!B66="","",Setup!A66)</f>
        <v/>
      </c>
      <c r="B53" s="19" t="str">
        <f>IF(Setup!B66="","",Setup!B66)</f>
        <v/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1" t="str">
        <f>IF($B53="","",COUNTIF(C53:AG53,"P"))</f>
        <v/>
      </c>
      <c r="AI53" s="21" t="str">
        <f>IF($B53="","",COUNTIF(C53:AG53,"A"))</f>
        <v/>
      </c>
      <c r="AJ53" s="21" t="str">
        <f>IF($B53="","",COUNTIF(C53:AG53,"L"))</f>
        <v/>
      </c>
      <c r="AK53" s="21" t="str">
        <f>IF($B53="","",AH53+AI53+AJ53)</f>
        <v/>
      </c>
      <c r="AL53" s="22" t="str">
        <f>IF(N(AK53)=0,"",AH53/AK53)</f>
        <v/>
      </c>
    </row>
    <row r="54" spans="1:38" x14ac:dyDescent="0.25">
      <c r="A54" s="18" t="str">
        <f>IF(Setup!B67="","",Setup!A67)</f>
        <v/>
      </c>
      <c r="B54" s="19" t="str">
        <f>IF(Setup!B67="","",Setup!B67)</f>
        <v/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1" t="str">
        <f>IF($B54="","",COUNTIF(C54:AG54,"P"))</f>
        <v/>
      </c>
      <c r="AI54" s="21" t="str">
        <f>IF($B54="","",COUNTIF(C54:AG54,"A"))</f>
        <v/>
      </c>
      <c r="AJ54" s="21" t="str">
        <f>IF($B54="","",COUNTIF(C54:AG54,"L"))</f>
        <v/>
      </c>
      <c r="AK54" s="21" t="str">
        <f>IF($B54="","",AH54+AI54+AJ54)</f>
        <v/>
      </c>
      <c r="AL54" s="22" t="str">
        <f>IF(N(AK54)=0,"",AH54/AK54)</f>
        <v/>
      </c>
    </row>
    <row r="55" spans="1:38" x14ac:dyDescent="0.25">
      <c r="A55" s="18" t="str">
        <f>IF(Setup!B68="","",Setup!A68)</f>
        <v/>
      </c>
      <c r="B55" s="19" t="str">
        <f>IF(Setup!B68="","",Setup!B68)</f>
        <v/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1" t="str">
        <f>IF($B55="","",COUNTIF(C55:AG55,"P"))</f>
        <v/>
      </c>
      <c r="AI55" s="21" t="str">
        <f>IF($B55="","",COUNTIF(C55:AG55,"A"))</f>
        <v/>
      </c>
      <c r="AJ55" s="21" t="str">
        <f>IF($B55="","",COUNTIF(C55:AG55,"L"))</f>
        <v/>
      </c>
      <c r="AK55" s="21" t="str">
        <f>IF($B55="","",AH55+AI55+AJ55)</f>
        <v/>
      </c>
      <c r="AL55" s="22" t="str">
        <f>IF(N(AK55)=0,"",AH55/AK55)</f>
        <v/>
      </c>
    </row>
    <row r="56" spans="1:33" x14ac:dyDescent="0.25">
      <c r="A56" s="23" t="s">
        <v>46</v>
      </c>
      <c r="B56" s="23"/>
      <c r="C56" s="24">
        <f>IF(C$4="","",COUNTIF(C6:C55,"P"))</f>
        <v>0</v>
      </c>
      <c r="D56" s="24">
        <f>IF(D$4="","",COUNTIF(D6:D55,"P"))</f>
        <v>0</v>
      </c>
      <c r="E56" s="24">
        <f>IF(E$4="","",COUNTIF(E6:E55,"P"))</f>
        <v>0</v>
      </c>
      <c r="F56" s="24">
        <f>IF(F$4="","",COUNTIF(F6:F55,"P"))</f>
        <v>0</v>
      </c>
      <c r="G56" s="24">
        <f>IF(G$4="","",COUNTIF(G6:G55,"P"))</f>
        <v>0</v>
      </c>
      <c r="H56" s="24">
        <f>IF(H$4="","",COUNTIF(H6:H55,"P"))</f>
        <v>0</v>
      </c>
      <c r="I56" s="24">
        <f>IF(I$4="","",COUNTIF(I6:I55,"P"))</f>
        <v>0</v>
      </c>
      <c r="J56" s="24">
        <f>IF(J$4="","",COUNTIF(J6:J55,"P"))</f>
        <v>0</v>
      </c>
      <c r="K56" s="24">
        <f>IF(K$4="","",COUNTIF(K6:K55,"P"))</f>
        <v>0</v>
      </c>
      <c r="L56" s="24">
        <f>IF(L$4="","",COUNTIF(L6:L55,"P"))</f>
        <v>0</v>
      </c>
      <c r="M56" s="24">
        <f>IF(M$4="","",COUNTIF(M6:M55,"P"))</f>
        <v>0</v>
      </c>
      <c r="N56" s="24">
        <f>IF(N$4="","",COUNTIF(N6:N55,"P"))</f>
        <v>0</v>
      </c>
      <c r="O56" s="24">
        <f>IF(O$4="","",COUNTIF(O6:O55,"P"))</f>
        <v>0</v>
      </c>
      <c r="P56" s="24">
        <f>IF(P$4="","",COUNTIF(P6:P55,"P"))</f>
        <v>0</v>
      </c>
      <c r="Q56" s="24">
        <f>IF(Q$4="","",COUNTIF(Q6:Q55,"P"))</f>
        <v>0</v>
      </c>
      <c r="R56" s="24">
        <f>IF(R$4="","",COUNTIF(R6:R55,"P"))</f>
        <v>0</v>
      </c>
      <c r="S56" s="24">
        <f>IF(S$4="","",COUNTIF(S6:S55,"P"))</f>
        <v>0</v>
      </c>
      <c r="T56" s="24">
        <f>IF(T$4="","",COUNTIF(T6:T55,"P"))</f>
        <v>0</v>
      </c>
      <c r="U56" s="24">
        <f>IF(U$4="","",COUNTIF(U6:U55,"P"))</f>
        <v>0</v>
      </c>
      <c r="V56" s="24">
        <f>IF(V$4="","",COUNTIF(V6:V55,"P"))</f>
        <v>0</v>
      </c>
      <c r="W56" s="24">
        <f>IF(W$4="","",COUNTIF(W6:W55,"P"))</f>
        <v>0</v>
      </c>
      <c r="X56" s="24">
        <f>IF(X$4="","",COUNTIF(X6:X55,"P"))</f>
        <v>0</v>
      </c>
      <c r="Y56" s="24">
        <f>IF(Y$4="","",COUNTIF(Y6:Y55,"P"))</f>
        <v>0</v>
      </c>
      <c r="Z56" s="24">
        <f>IF(Z$4="","",COUNTIF(Z6:Z55,"P"))</f>
        <v>0</v>
      </c>
      <c r="AA56" s="24">
        <f>IF(AA$4="","",COUNTIF(AA6:AA55,"P"))</f>
        <v>0</v>
      </c>
      <c r="AB56" s="24">
        <f>IF(AB$4="","",COUNTIF(AB6:AB55,"P"))</f>
        <v>0</v>
      </c>
      <c r="AC56" s="24">
        <f>IF(AC$4="","",COUNTIF(AC6:AC55,"P"))</f>
        <v>0</v>
      </c>
      <c r="AD56" s="24">
        <f>IF(AD$4="","",COUNTIF(AD6:AD55,"P"))</f>
        <v>0</v>
      </c>
      <c r="AE56" s="24">
        <f>IF(AE$4="","",COUNTIF(AE6:AE55,"P"))</f>
        <v>0</v>
      </c>
      <c r="AF56" s="24">
        <f>IF(AF$4="","",COUNTIF(AF6:AF55,"P"))</f>
        <v>0</v>
      </c>
      <c r="AG56" s="24">
        <f>IF(AG$4="","",COUNTIF(AG6:AG55,"P"))</f>
        <v>0</v>
      </c>
    </row>
    <row r="57" spans="1:33" x14ac:dyDescent="0.25">
      <c r="A57" s="23" t="s">
        <v>47</v>
      </c>
      <c r="B57" s="23"/>
      <c r="C57" s="24">
        <f>IF(C$4="","",COUNTIF(C6:C55,"A")+COUNTIF(C6:C55,"L"))</f>
        <v>0</v>
      </c>
      <c r="D57" s="24">
        <f>IF(D$4="","",COUNTIF(D6:D55,"A")+COUNTIF(D6:D55,"L"))</f>
        <v>0</v>
      </c>
      <c r="E57" s="24">
        <f>IF(E$4="","",COUNTIF(E6:E55,"A")+COUNTIF(E6:E55,"L"))</f>
        <v>0</v>
      </c>
      <c r="F57" s="24">
        <f>IF(F$4="","",COUNTIF(F6:F55,"A")+COUNTIF(F6:F55,"L"))</f>
        <v>0</v>
      </c>
      <c r="G57" s="24">
        <f>IF(G$4="","",COUNTIF(G6:G55,"A")+COUNTIF(G6:G55,"L"))</f>
        <v>0</v>
      </c>
      <c r="H57" s="24">
        <f>IF(H$4="","",COUNTIF(H6:H55,"A")+COUNTIF(H6:H55,"L"))</f>
        <v>0</v>
      </c>
      <c r="I57" s="24">
        <f>IF(I$4="","",COUNTIF(I6:I55,"A")+COUNTIF(I6:I55,"L"))</f>
        <v>0</v>
      </c>
      <c r="J57" s="24">
        <f>IF(J$4="","",COUNTIF(J6:J55,"A")+COUNTIF(J6:J55,"L"))</f>
        <v>0</v>
      </c>
      <c r="K57" s="24">
        <f>IF(K$4="","",COUNTIF(K6:K55,"A")+COUNTIF(K6:K55,"L"))</f>
        <v>0</v>
      </c>
      <c r="L57" s="24">
        <f>IF(L$4="","",COUNTIF(L6:L55,"A")+COUNTIF(L6:L55,"L"))</f>
        <v>0</v>
      </c>
      <c r="M57" s="24">
        <f>IF(M$4="","",COUNTIF(M6:M55,"A")+COUNTIF(M6:M55,"L"))</f>
        <v>0</v>
      </c>
      <c r="N57" s="24">
        <f>IF(N$4="","",COUNTIF(N6:N55,"A")+COUNTIF(N6:N55,"L"))</f>
        <v>0</v>
      </c>
      <c r="O57" s="24">
        <f>IF(O$4="","",COUNTIF(O6:O55,"A")+COUNTIF(O6:O55,"L"))</f>
        <v>0</v>
      </c>
      <c r="P57" s="24">
        <f>IF(P$4="","",COUNTIF(P6:P55,"A")+COUNTIF(P6:P55,"L"))</f>
        <v>0</v>
      </c>
      <c r="Q57" s="24">
        <f>IF(Q$4="","",COUNTIF(Q6:Q55,"A")+COUNTIF(Q6:Q55,"L"))</f>
        <v>0</v>
      </c>
      <c r="R57" s="24">
        <f>IF(R$4="","",COUNTIF(R6:R55,"A")+COUNTIF(R6:R55,"L"))</f>
        <v>0</v>
      </c>
      <c r="S57" s="24">
        <f>IF(S$4="","",COUNTIF(S6:S55,"A")+COUNTIF(S6:S55,"L"))</f>
        <v>0</v>
      </c>
      <c r="T57" s="24">
        <f>IF(T$4="","",COUNTIF(T6:T55,"A")+COUNTIF(T6:T55,"L"))</f>
        <v>0</v>
      </c>
      <c r="U57" s="24">
        <f>IF(U$4="","",COUNTIF(U6:U55,"A")+COUNTIF(U6:U55,"L"))</f>
        <v>0</v>
      </c>
      <c r="V57" s="24">
        <f>IF(V$4="","",COUNTIF(V6:V55,"A")+COUNTIF(V6:V55,"L"))</f>
        <v>0</v>
      </c>
      <c r="W57" s="24">
        <f>IF(W$4="","",COUNTIF(W6:W55,"A")+COUNTIF(W6:W55,"L"))</f>
        <v>0</v>
      </c>
      <c r="X57" s="24">
        <f>IF(X$4="","",COUNTIF(X6:X55,"A")+COUNTIF(X6:X55,"L"))</f>
        <v>0</v>
      </c>
      <c r="Y57" s="24">
        <f>IF(Y$4="","",COUNTIF(Y6:Y55,"A")+COUNTIF(Y6:Y55,"L"))</f>
        <v>0</v>
      </c>
      <c r="Z57" s="24">
        <f>IF(Z$4="","",COUNTIF(Z6:Z55,"A")+COUNTIF(Z6:Z55,"L"))</f>
        <v>0</v>
      </c>
      <c r="AA57" s="24">
        <f>IF(AA$4="","",COUNTIF(AA6:AA55,"A")+COUNTIF(AA6:AA55,"L"))</f>
        <v>0</v>
      </c>
      <c r="AB57" s="24">
        <f>IF(AB$4="","",COUNTIF(AB6:AB55,"A")+COUNTIF(AB6:AB55,"L"))</f>
        <v>0</v>
      </c>
      <c r="AC57" s="24">
        <f>IF(AC$4="","",COUNTIF(AC6:AC55,"A")+COUNTIF(AC6:AC55,"L"))</f>
        <v>0</v>
      </c>
      <c r="AD57" s="24">
        <f>IF(AD$4="","",COUNTIF(AD6:AD55,"A")+COUNTIF(AD6:AD55,"L"))</f>
        <v>0</v>
      </c>
      <c r="AE57" s="24">
        <f>IF(AE$4="","",COUNTIF(AE6:AE55,"A")+COUNTIF(AE6:AE55,"L"))</f>
        <v>0</v>
      </c>
      <c r="AF57" s="24">
        <f>IF(AF$4="","",COUNTIF(AF6:AF55,"A")+COUNTIF(AF6:AF55,"L"))</f>
        <v>0</v>
      </c>
      <c r="AG57" s="24">
        <f>IF(AG$4="","",COUNTIF(AG6:AG55,"A")+COUNTIF(AG6:AG55,"L"))</f>
        <v>0</v>
      </c>
    </row>
    <row r="59" spans="1:1" x14ac:dyDescent="0.25">
      <c r="A59" s="13" t="s">
        <v>41</v>
      </c>
    </row>
  </sheetData>
  <mergeCells count="9">
    <mergeCell ref="A4:A5"/>
    <mergeCell ref="B4:B5"/>
    <mergeCell ref="AH4:AH5"/>
    <mergeCell ref="AI4:AI5"/>
    <mergeCell ref="AJ4:AJ5"/>
    <mergeCell ref="AK4:AK5"/>
    <mergeCell ref="AL4:AL5"/>
    <mergeCell ref="A56:B56"/>
    <mergeCell ref="A57:B57"/>
  </mergeCells>
  <conditionalFormatting sqref="C4:AG57">
    <cfRule type="expression" dxfId="66" priority="1">
      <formula>C$4=""</formula>
    </cfRule>
  </conditionalFormatting>
  <conditionalFormatting sqref="C6:AG55">
    <cfRule type="expression" dxfId="67" priority="2">
      <formula>C6="A"</formula>
    </cfRule>
    <cfRule type="expression" dxfId="68" priority="3">
      <formula>C6="L"</formula>
    </cfRule>
    <cfRule type="expression" dxfId="69" priority="4">
      <formula>C6="H"</formula>
    </cfRule>
    <cfRule type="expression" dxfId="70" priority="5">
      <formula>C$5="Su"</formula>
    </cfRule>
  </conditionalFormatting>
  <conditionalFormatting sqref="AL6:AL55">
    <cfRule type="expression" dxfId="71" priority="6">
      <formula>AND(AL6&lt;&gt;"",AL6&lt;$AL$2)</formula>
    </cfRule>
  </conditionalFormatting>
  <dataValidations count="1">
    <dataValidation type="list" allowBlank="1" showErrorMessage="1" errorStyle="stop" errorTitle="Use P, A, L or H" error="P present, A absent, L on leave, H holiday. Leave Sundays empty." sqref="C6:AG55">
      <formula1>"P,A,L,H"</formula1>
    </dataValidation>
  </dataValidations>
  <hyperlinks>
    <hyperlink ref="A59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14" width="7" customWidth="1"/>
    <col min="15" max="17" width="8" customWidth="1"/>
    <col min="18" max="18" width="14" customWidth="1"/>
  </cols>
  <sheetData>
    <row r="1" spans="1:1" x14ac:dyDescent="0.25">
      <c r="A1" s="14" t="str">
        <f>Setup!$B$4</f>
        <v>Demo Public School</v>
      </c>
    </row>
    <row r="2" spans="1:18" x14ac:dyDescent="0.25">
      <c r="A2" s="5" t="str">
        <f>"Year summary   ·   Class "&amp;Setup!$B$5&amp;" "&amp;Setup!$B$6&amp;"   ·   "&amp;Setup!$C$8</f>
        <v>Year summary   ·   Class VII A   ·   April 2026 to March 2027</v>
      </c>
      <c r="Q2" s="15" t="s">
        <v>42</v>
      </c>
      <c r="R2" s="16">
        <f>Setup!$B$9</f>
        <v>0.75</v>
      </c>
    </row>
    <row r="4" ht="44" customHeight="1" spans="1:18" x14ac:dyDescent="0.25">
      <c r="A4" s="10" t="s">
        <v>43</v>
      </c>
      <c r="B4" s="11" t="s">
        <v>23</v>
      </c>
      <c r="C4" s="10" t="s">
        <v>48</v>
      </c>
      <c r="D4" s="10" t="s">
        <v>49</v>
      </c>
      <c r="E4" s="10" t="s">
        <v>50</v>
      </c>
      <c r="F4" s="10" t="s">
        <v>51</v>
      </c>
      <c r="G4" s="10" t="s">
        <v>52</v>
      </c>
      <c r="H4" s="10" t="s">
        <v>53</v>
      </c>
      <c r="I4" s="10" t="s">
        <v>54</v>
      </c>
      <c r="J4" s="10" t="s">
        <v>55</v>
      </c>
      <c r="K4" s="10" t="s">
        <v>56</v>
      </c>
      <c r="L4" s="10" t="s">
        <v>57</v>
      </c>
      <c r="M4" s="10" t="s">
        <v>58</v>
      </c>
      <c r="N4" s="10" t="s">
        <v>59</v>
      </c>
      <c r="O4" s="10" t="s">
        <v>60</v>
      </c>
      <c r="P4" s="10" t="s">
        <v>61</v>
      </c>
      <c r="Q4" s="10" t="s">
        <v>62</v>
      </c>
      <c r="R4" s="10" t="s">
        <v>63</v>
      </c>
    </row>
    <row r="5" spans="1:18" x14ac:dyDescent="0.25">
      <c r="A5" s="18">
        <f>IF(Setup!B19="","",Setup!A19)</f>
        <v>1</v>
      </c>
      <c r="B5" s="19" t="str">
        <f>IF(Setup!B19="","",Setup!B19)</f>
        <v>Aarav Sharma</v>
      </c>
      <c r="C5" s="25">
        <f>IF(N('Apr'!AK6)=0,"",'Apr'!AH6/'Apr'!AK6)</f>
        <v>1</v>
      </c>
      <c r="D5" s="25" t="str">
        <f>IF(N('May'!AK6)=0,"",'May'!AH6/'May'!AK6)</f>
        <v/>
      </c>
      <c r="E5" s="25" t="str">
        <f>IF(N('Jun'!AK6)=0,"",'Jun'!AH6/'Jun'!AK6)</f>
        <v/>
      </c>
      <c r="F5" s="25" t="str">
        <f>IF(N('Jul'!AK6)=0,"",'Jul'!AH6/'Jul'!AK6)</f>
        <v/>
      </c>
      <c r="G5" s="25" t="str">
        <f>IF(N('Aug'!AK6)=0,"",'Aug'!AH6/'Aug'!AK6)</f>
        <v/>
      </c>
      <c r="H5" s="25" t="str">
        <f>IF(N('Sep'!AK6)=0,"",'Sep'!AH6/'Sep'!AK6)</f>
        <v/>
      </c>
      <c r="I5" s="25" t="str">
        <f>IF(N('Oct'!AK6)=0,"",'Oct'!AH6/'Oct'!AK6)</f>
        <v/>
      </c>
      <c r="J5" s="25" t="str">
        <f>IF(N('Nov'!AK6)=0,"",'Nov'!AH6/'Nov'!AK6)</f>
        <v/>
      </c>
      <c r="K5" s="25" t="str">
        <f>IF(N('Dec'!AK6)=0,"",'Dec'!AH6/'Dec'!AK6)</f>
        <v/>
      </c>
      <c r="L5" s="25" t="str">
        <f>IF(N('Jan'!AK6)=0,"",'Jan'!AH6/'Jan'!AK6)</f>
        <v/>
      </c>
      <c r="M5" s="25" t="str">
        <f>IF(N('Feb'!AK6)=0,"",'Feb'!AH6/'Feb'!AK6)</f>
        <v/>
      </c>
      <c r="N5" s="25" t="str">
        <f>IF(N('Mar'!AK6)=0,"",'Mar'!AH6/'Mar'!AK6)</f>
        <v/>
      </c>
      <c r="O5" s="21">
        <f>IF($B5="","",SUM('Apr'!AH6,'May'!AH6,'Jun'!AH6,'Jul'!AH6,'Aug'!AH6,'Sep'!AH6,'Oct'!AH6,'Nov'!AH6,'Dec'!AH6,'Jan'!AH6,'Feb'!AH6,'Mar'!AH6))</f>
        <v>26</v>
      </c>
      <c r="P5" s="21">
        <f>IF($B5="","",SUM('Apr'!AK6,'May'!AK6,'Jun'!AK6,'Jul'!AK6,'Aug'!AK6,'Sep'!AK6,'Oct'!AK6,'Nov'!AK6,'Dec'!AK6,'Jan'!AK6,'Feb'!AK6,'Mar'!AK6))</f>
        <v>26</v>
      </c>
      <c r="Q5" s="22">
        <f>IF(N(P5)=0,"",O5/P5)</f>
        <v>1</v>
      </c>
      <c r="R5" s="21" t="str">
        <f>IF(OR(N(P5)=0,Q5&gt;=$R$2),"",ROUNDUP(ROUND(($R$2*P5-O5)/(1-$R$2),6),0))</f>
        <v/>
      </c>
    </row>
    <row r="6" spans="1:18" x14ac:dyDescent="0.25">
      <c r="A6" s="18">
        <f>IF(Setup!B20="","",Setup!A20)</f>
        <v>2</v>
      </c>
      <c r="B6" s="19" t="str">
        <f>IF(Setup!B20="","",Setup!B20)</f>
        <v>Ananya Iyer</v>
      </c>
      <c r="C6" s="25">
        <f>IF(N('Apr'!AK7)=0,"",'Apr'!AH7/'Apr'!AK7)</f>
        <v>0.9230769230769231</v>
      </c>
      <c r="D6" s="25" t="str">
        <f>IF(N('May'!AK7)=0,"",'May'!AH7/'May'!AK7)</f>
        <v/>
      </c>
      <c r="E6" s="25" t="str">
        <f>IF(N('Jun'!AK7)=0,"",'Jun'!AH7/'Jun'!AK7)</f>
        <v/>
      </c>
      <c r="F6" s="25" t="str">
        <f>IF(N('Jul'!AK7)=0,"",'Jul'!AH7/'Jul'!AK7)</f>
        <v/>
      </c>
      <c r="G6" s="25" t="str">
        <f>IF(N('Aug'!AK7)=0,"",'Aug'!AH7/'Aug'!AK7)</f>
        <v/>
      </c>
      <c r="H6" s="25" t="str">
        <f>IF(N('Sep'!AK7)=0,"",'Sep'!AH7/'Sep'!AK7)</f>
        <v/>
      </c>
      <c r="I6" s="25" t="str">
        <f>IF(N('Oct'!AK7)=0,"",'Oct'!AH7/'Oct'!AK7)</f>
        <v/>
      </c>
      <c r="J6" s="25" t="str">
        <f>IF(N('Nov'!AK7)=0,"",'Nov'!AH7/'Nov'!AK7)</f>
        <v/>
      </c>
      <c r="K6" s="25" t="str">
        <f>IF(N('Dec'!AK7)=0,"",'Dec'!AH7/'Dec'!AK7)</f>
        <v/>
      </c>
      <c r="L6" s="25" t="str">
        <f>IF(N('Jan'!AK7)=0,"",'Jan'!AH7/'Jan'!AK7)</f>
        <v/>
      </c>
      <c r="M6" s="25" t="str">
        <f>IF(N('Feb'!AK7)=0,"",'Feb'!AH7/'Feb'!AK7)</f>
        <v/>
      </c>
      <c r="N6" s="25" t="str">
        <f>IF(N('Mar'!AK7)=0,"",'Mar'!AH7/'Mar'!AK7)</f>
        <v/>
      </c>
      <c r="O6" s="21">
        <f>IF($B6="","",SUM('Apr'!AH7,'May'!AH7,'Jun'!AH7,'Jul'!AH7,'Aug'!AH7,'Sep'!AH7,'Oct'!AH7,'Nov'!AH7,'Dec'!AH7,'Jan'!AH7,'Feb'!AH7,'Mar'!AH7))</f>
        <v>24</v>
      </c>
      <c r="P6" s="21">
        <f>IF($B6="","",SUM('Apr'!AK7,'May'!AK7,'Jun'!AK7,'Jul'!AK7,'Aug'!AK7,'Sep'!AK7,'Oct'!AK7,'Nov'!AK7,'Dec'!AK7,'Jan'!AK7,'Feb'!AK7,'Mar'!AK7))</f>
        <v>26</v>
      </c>
      <c r="Q6" s="22">
        <f>IF(N(P6)=0,"",O6/P6)</f>
        <v>0.9230769230769231</v>
      </c>
      <c r="R6" s="21" t="str">
        <f>IF(OR(N(P6)=0,Q6&gt;=$R$2),"",ROUNDUP(ROUND(($R$2*P6-O6)/(1-$R$2),6),0))</f>
        <v/>
      </c>
    </row>
    <row r="7" spans="1:18" x14ac:dyDescent="0.25">
      <c r="A7" s="18">
        <f>IF(Setup!B21="","",Setup!A21)</f>
        <v>3</v>
      </c>
      <c r="B7" s="19" t="str">
        <f>IF(Setup!B21="","",Setup!B21)</f>
        <v>Diya Menon</v>
      </c>
      <c r="C7" s="25">
        <f>IF(N('Apr'!AK8)=0,"",'Apr'!AH8/'Apr'!AK8)</f>
        <v>0.8846153846153846</v>
      </c>
      <c r="D7" s="25" t="str">
        <f>IF(N('May'!AK8)=0,"",'May'!AH8/'May'!AK8)</f>
        <v/>
      </c>
      <c r="E7" s="25" t="str">
        <f>IF(N('Jun'!AK8)=0,"",'Jun'!AH8/'Jun'!AK8)</f>
        <v/>
      </c>
      <c r="F7" s="25" t="str">
        <f>IF(N('Jul'!AK8)=0,"",'Jul'!AH8/'Jul'!AK8)</f>
        <v/>
      </c>
      <c r="G7" s="25" t="str">
        <f>IF(N('Aug'!AK8)=0,"",'Aug'!AH8/'Aug'!AK8)</f>
        <v/>
      </c>
      <c r="H7" s="25" t="str">
        <f>IF(N('Sep'!AK8)=0,"",'Sep'!AH8/'Sep'!AK8)</f>
        <v/>
      </c>
      <c r="I7" s="25" t="str">
        <f>IF(N('Oct'!AK8)=0,"",'Oct'!AH8/'Oct'!AK8)</f>
        <v/>
      </c>
      <c r="J7" s="25" t="str">
        <f>IF(N('Nov'!AK8)=0,"",'Nov'!AH8/'Nov'!AK8)</f>
        <v/>
      </c>
      <c r="K7" s="25" t="str">
        <f>IF(N('Dec'!AK8)=0,"",'Dec'!AH8/'Dec'!AK8)</f>
        <v/>
      </c>
      <c r="L7" s="25" t="str">
        <f>IF(N('Jan'!AK8)=0,"",'Jan'!AH8/'Jan'!AK8)</f>
        <v/>
      </c>
      <c r="M7" s="25" t="str">
        <f>IF(N('Feb'!AK8)=0,"",'Feb'!AH8/'Feb'!AK8)</f>
        <v/>
      </c>
      <c r="N7" s="25" t="str">
        <f>IF(N('Mar'!AK8)=0,"",'Mar'!AH8/'Mar'!AK8)</f>
        <v/>
      </c>
      <c r="O7" s="21">
        <f>IF($B7="","",SUM('Apr'!AH8,'May'!AH8,'Jun'!AH8,'Jul'!AH8,'Aug'!AH8,'Sep'!AH8,'Oct'!AH8,'Nov'!AH8,'Dec'!AH8,'Jan'!AH8,'Feb'!AH8,'Mar'!AH8))</f>
        <v>23</v>
      </c>
      <c r="P7" s="21">
        <f>IF($B7="","",SUM('Apr'!AK8,'May'!AK8,'Jun'!AK8,'Jul'!AK8,'Aug'!AK8,'Sep'!AK8,'Oct'!AK8,'Nov'!AK8,'Dec'!AK8,'Jan'!AK8,'Feb'!AK8,'Mar'!AK8))</f>
        <v>26</v>
      </c>
      <c r="Q7" s="22">
        <f>IF(N(P7)=0,"",O7/P7)</f>
        <v>0.8846153846153846</v>
      </c>
      <c r="R7" s="21" t="str">
        <f>IF(OR(N(P7)=0,Q7&gt;=$R$2),"",ROUNDUP(ROUND(($R$2*P7-O7)/(1-$R$2),6),0))</f>
        <v/>
      </c>
    </row>
    <row r="8" spans="1:18" x14ac:dyDescent="0.25">
      <c r="A8" s="18">
        <f>IF(Setup!B22="","",Setup!A22)</f>
        <v>4</v>
      </c>
      <c r="B8" s="19" t="str">
        <f>IF(Setup!B22="","",Setup!B22)</f>
        <v>Ishaan Patel</v>
      </c>
      <c r="C8" s="25">
        <f>IF(N('Apr'!AK9)=0,"",'Apr'!AH9/'Apr'!AK9)</f>
        <v>0.9615384615384616</v>
      </c>
      <c r="D8" s="25" t="str">
        <f>IF(N('May'!AK9)=0,"",'May'!AH9/'May'!AK9)</f>
        <v/>
      </c>
      <c r="E8" s="25" t="str">
        <f>IF(N('Jun'!AK9)=0,"",'Jun'!AH9/'Jun'!AK9)</f>
        <v/>
      </c>
      <c r="F8" s="25" t="str">
        <f>IF(N('Jul'!AK9)=0,"",'Jul'!AH9/'Jul'!AK9)</f>
        <v/>
      </c>
      <c r="G8" s="25" t="str">
        <f>IF(N('Aug'!AK9)=0,"",'Aug'!AH9/'Aug'!AK9)</f>
        <v/>
      </c>
      <c r="H8" s="25" t="str">
        <f>IF(N('Sep'!AK9)=0,"",'Sep'!AH9/'Sep'!AK9)</f>
        <v/>
      </c>
      <c r="I8" s="25" t="str">
        <f>IF(N('Oct'!AK9)=0,"",'Oct'!AH9/'Oct'!AK9)</f>
        <v/>
      </c>
      <c r="J8" s="25" t="str">
        <f>IF(N('Nov'!AK9)=0,"",'Nov'!AH9/'Nov'!AK9)</f>
        <v/>
      </c>
      <c r="K8" s="25" t="str">
        <f>IF(N('Dec'!AK9)=0,"",'Dec'!AH9/'Dec'!AK9)</f>
        <v/>
      </c>
      <c r="L8" s="25" t="str">
        <f>IF(N('Jan'!AK9)=0,"",'Jan'!AH9/'Jan'!AK9)</f>
        <v/>
      </c>
      <c r="M8" s="25" t="str">
        <f>IF(N('Feb'!AK9)=0,"",'Feb'!AH9/'Feb'!AK9)</f>
        <v/>
      </c>
      <c r="N8" s="25" t="str">
        <f>IF(N('Mar'!AK9)=0,"",'Mar'!AH9/'Mar'!AK9)</f>
        <v/>
      </c>
      <c r="O8" s="21">
        <f>IF($B8="","",SUM('Apr'!AH9,'May'!AH9,'Jun'!AH9,'Jul'!AH9,'Aug'!AH9,'Sep'!AH9,'Oct'!AH9,'Nov'!AH9,'Dec'!AH9,'Jan'!AH9,'Feb'!AH9,'Mar'!AH9))</f>
        <v>25</v>
      </c>
      <c r="P8" s="21">
        <f>IF($B8="","",SUM('Apr'!AK9,'May'!AK9,'Jun'!AK9,'Jul'!AK9,'Aug'!AK9,'Sep'!AK9,'Oct'!AK9,'Nov'!AK9,'Dec'!AK9,'Jan'!AK9,'Feb'!AK9,'Mar'!AK9))</f>
        <v>26</v>
      </c>
      <c r="Q8" s="22">
        <f>IF(N(P8)=0,"",O8/P8)</f>
        <v>0.9615384615384616</v>
      </c>
      <c r="R8" s="21" t="str">
        <f>IF(OR(N(P8)=0,Q8&gt;=$R$2),"",ROUNDUP(ROUND(($R$2*P8-O8)/(1-$R$2),6),0))</f>
        <v/>
      </c>
    </row>
    <row r="9" spans="1:18" x14ac:dyDescent="0.25">
      <c r="A9" s="18">
        <f>IF(Setup!B23="","",Setup!A23)</f>
        <v>5</v>
      </c>
      <c r="B9" s="19" t="str">
        <f>IF(Setup!B23="","",Setup!B23)</f>
        <v>Meera Reddy</v>
      </c>
      <c r="C9" s="25">
        <f>IF(N('Apr'!AK10)=0,"",'Apr'!AH10/'Apr'!AK10)</f>
        <v>0.7307692307692307</v>
      </c>
      <c r="D9" s="25" t="str">
        <f>IF(N('May'!AK10)=0,"",'May'!AH10/'May'!AK10)</f>
        <v/>
      </c>
      <c r="E9" s="25" t="str">
        <f>IF(N('Jun'!AK10)=0,"",'Jun'!AH10/'Jun'!AK10)</f>
        <v/>
      </c>
      <c r="F9" s="25" t="str">
        <f>IF(N('Jul'!AK10)=0,"",'Jul'!AH10/'Jul'!AK10)</f>
        <v/>
      </c>
      <c r="G9" s="25" t="str">
        <f>IF(N('Aug'!AK10)=0,"",'Aug'!AH10/'Aug'!AK10)</f>
        <v/>
      </c>
      <c r="H9" s="25" t="str">
        <f>IF(N('Sep'!AK10)=0,"",'Sep'!AH10/'Sep'!AK10)</f>
        <v/>
      </c>
      <c r="I9" s="25" t="str">
        <f>IF(N('Oct'!AK10)=0,"",'Oct'!AH10/'Oct'!AK10)</f>
        <v/>
      </c>
      <c r="J9" s="25" t="str">
        <f>IF(N('Nov'!AK10)=0,"",'Nov'!AH10/'Nov'!AK10)</f>
        <v/>
      </c>
      <c r="K9" s="25" t="str">
        <f>IF(N('Dec'!AK10)=0,"",'Dec'!AH10/'Dec'!AK10)</f>
        <v/>
      </c>
      <c r="L9" s="25" t="str">
        <f>IF(N('Jan'!AK10)=0,"",'Jan'!AH10/'Jan'!AK10)</f>
        <v/>
      </c>
      <c r="M9" s="25" t="str">
        <f>IF(N('Feb'!AK10)=0,"",'Feb'!AH10/'Feb'!AK10)</f>
        <v/>
      </c>
      <c r="N9" s="25" t="str">
        <f>IF(N('Mar'!AK10)=0,"",'Mar'!AH10/'Mar'!AK10)</f>
        <v/>
      </c>
      <c r="O9" s="21">
        <f>IF($B9="","",SUM('Apr'!AH10,'May'!AH10,'Jun'!AH10,'Jul'!AH10,'Aug'!AH10,'Sep'!AH10,'Oct'!AH10,'Nov'!AH10,'Dec'!AH10,'Jan'!AH10,'Feb'!AH10,'Mar'!AH10))</f>
        <v>19</v>
      </c>
      <c r="P9" s="21">
        <f>IF($B9="","",SUM('Apr'!AK10,'May'!AK10,'Jun'!AK10,'Jul'!AK10,'Aug'!AK10,'Sep'!AK10,'Oct'!AK10,'Nov'!AK10,'Dec'!AK10,'Jan'!AK10,'Feb'!AK10,'Mar'!AK10))</f>
        <v>26</v>
      </c>
      <c r="Q9" s="22">
        <f>IF(N(P9)=0,"",O9/P9)</f>
        <v>0.7307692307692307</v>
      </c>
      <c r="R9" s="21">
        <f>IF(OR(N(P9)=0,Q9&gt;=$R$2),"",ROUNDUP(ROUND(($R$2*P9-O9)/(1-$R$2),6),0))</f>
        <v>2</v>
      </c>
    </row>
    <row r="10" spans="1:18" x14ac:dyDescent="0.25">
      <c r="A10" s="18">
        <f>IF(Setup!B24="","",Setup!A24)</f>
        <v>6</v>
      </c>
      <c r="B10" s="19" t="str">
        <f>IF(Setup!B24="","",Setup!B24)</f>
        <v>Rohan Das</v>
      </c>
      <c r="C10" s="25">
        <f>IF(N('Apr'!AK11)=0,"",'Apr'!AH11/'Apr'!AK11)</f>
        <v>0.9615384615384616</v>
      </c>
      <c r="D10" s="25" t="str">
        <f>IF(N('May'!AK11)=0,"",'May'!AH11/'May'!AK11)</f>
        <v/>
      </c>
      <c r="E10" s="25" t="str">
        <f>IF(N('Jun'!AK11)=0,"",'Jun'!AH11/'Jun'!AK11)</f>
        <v/>
      </c>
      <c r="F10" s="25" t="str">
        <f>IF(N('Jul'!AK11)=0,"",'Jul'!AH11/'Jul'!AK11)</f>
        <v/>
      </c>
      <c r="G10" s="25" t="str">
        <f>IF(N('Aug'!AK11)=0,"",'Aug'!AH11/'Aug'!AK11)</f>
        <v/>
      </c>
      <c r="H10" s="25" t="str">
        <f>IF(N('Sep'!AK11)=0,"",'Sep'!AH11/'Sep'!AK11)</f>
        <v/>
      </c>
      <c r="I10" s="25" t="str">
        <f>IF(N('Oct'!AK11)=0,"",'Oct'!AH11/'Oct'!AK11)</f>
        <v/>
      </c>
      <c r="J10" s="25" t="str">
        <f>IF(N('Nov'!AK11)=0,"",'Nov'!AH11/'Nov'!AK11)</f>
        <v/>
      </c>
      <c r="K10" s="25" t="str">
        <f>IF(N('Dec'!AK11)=0,"",'Dec'!AH11/'Dec'!AK11)</f>
        <v/>
      </c>
      <c r="L10" s="25" t="str">
        <f>IF(N('Jan'!AK11)=0,"",'Jan'!AH11/'Jan'!AK11)</f>
        <v/>
      </c>
      <c r="M10" s="25" t="str">
        <f>IF(N('Feb'!AK11)=0,"",'Feb'!AH11/'Feb'!AK11)</f>
        <v/>
      </c>
      <c r="N10" s="25" t="str">
        <f>IF(N('Mar'!AK11)=0,"",'Mar'!AH11/'Mar'!AK11)</f>
        <v/>
      </c>
      <c r="O10" s="21">
        <f>IF($B10="","",SUM('Apr'!AH11,'May'!AH11,'Jun'!AH11,'Jul'!AH11,'Aug'!AH11,'Sep'!AH11,'Oct'!AH11,'Nov'!AH11,'Dec'!AH11,'Jan'!AH11,'Feb'!AH11,'Mar'!AH11))</f>
        <v>25</v>
      </c>
      <c r="P10" s="21">
        <f>IF($B10="","",SUM('Apr'!AK11,'May'!AK11,'Jun'!AK11,'Jul'!AK11,'Aug'!AK11,'Sep'!AK11,'Oct'!AK11,'Nov'!AK11,'Dec'!AK11,'Jan'!AK11,'Feb'!AK11,'Mar'!AK11))</f>
        <v>26</v>
      </c>
      <c r="Q10" s="22">
        <f>IF(N(P10)=0,"",O10/P10)</f>
        <v>0.9615384615384616</v>
      </c>
      <c r="R10" s="21" t="str">
        <f>IF(OR(N(P10)=0,Q10&gt;=$R$2),"",ROUNDUP(ROUND(($R$2*P10-O10)/(1-$R$2),6),0))</f>
        <v/>
      </c>
    </row>
    <row r="11" spans="1:18" x14ac:dyDescent="0.25">
      <c r="A11" s="18">
        <f>IF(Setup!B25="","",Setup!A25)</f>
        <v>7</v>
      </c>
      <c r="B11" s="19" t="str">
        <f>IF(Setup!B25="","",Setup!B25)</f>
        <v>Sara Khan</v>
      </c>
      <c r="C11" s="25">
        <f>IF(N('Apr'!AK12)=0,"",'Apr'!AH12/'Apr'!AK12)</f>
        <v>1</v>
      </c>
      <c r="D11" s="25" t="str">
        <f>IF(N('May'!AK12)=0,"",'May'!AH12/'May'!AK12)</f>
        <v/>
      </c>
      <c r="E11" s="25" t="str">
        <f>IF(N('Jun'!AK12)=0,"",'Jun'!AH12/'Jun'!AK12)</f>
        <v/>
      </c>
      <c r="F11" s="25" t="str">
        <f>IF(N('Jul'!AK12)=0,"",'Jul'!AH12/'Jul'!AK12)</f>
        <v/>
      </c>
      <c r="G11" s="25" t="str">
        <f>IF(N('Aug'!AK12)=0,"",'Aug'!AH12/'Aug'!AK12)</f>
        <v/>
      </c>
      <c r="H11" s="25" t="str">
        <f>IF(N('Sep'!AK12)=0,"",'Sep'!AH12/'Sep'!AK12)</f>
        <v/>
      </c>
      <c r="I11" s="25" t="str">
        <f>IF(N('Oct'!AK12)=0,"",'Oct'!AH12/'Oct'!AK12)</f>
        <v/>
      </c>
      <c r="J11" s="25" t="str">
        <f>IF(N('Nov'!AK12)=0,"",'Nov'!AH12/'Nov'!AK12)</f>
        <v/>
      </c>
      <c r="K11" s="25" t="str">
        <f>IF(N('Dec'!AK12)=0,"",'Dec'!AH12/'Dec'!AK12)</f>
        <v/>
      </c>
      <c r="L11" s="25" t="str">
        <f>IF(N('Jan'!AK12)=0,"",'Jan'!AH12/'Jan'!AK12)</f>
        <v/>
      </c>
      <c r="M11" s="25" t="str">
        <f>IF(N('Feb'!AK12)=0,"",'Feb'!AH12/'Feb'!AK12)</f>
        <v/>
      </c>
      <c r="N11" s="25" t="str">
        <f>IF(N('Mar'!AK12)=0,"",'Mar'!AH12/'Mar'!AK12)</f>
        <v/>
      </c>
      <c r="O11" s="21">
        <f>IF($B11="","",SUM('Apr'!AH12,'May'!AH12,'Jun'!AH12,'Jul'!AH12,'Aug'!AH12,'Sep'!AH12,'Oct'!AH12,'Nov'!AH12,'Dec'!AH12,'Jan'!AH12,'Feb'!AH12,'Mar'!AH12))</f>
        <v>26</v>
      </c>
      <c r="P11" s="21">
        <f>IF($B11="","",SUM('Apr'!AK12,'May'!AK12,'Jun'!AK12,'Jul'!AK12,'Aug'!AK12,'Sep'!AK12,'Oct'!AK12,'Nov'!AK12,'Dec'!AK12,'Jan'!AK12,'Feb'!AK12,'Mar'!AK12))</f>
        <v>26</v>
      </c>
      <c r="Q11" s="22">
        <f>IF(N(P11)=0,"",O11/P11)</f>
        <v>1</v>
      </c>
      <c r="R11" s="21" t="str">
        <f>IF(OR(N(P11)=0,Q11&gt;=$R$2),"",ROUNDUP(ROUND(($R$2*P11-O11)/(1-$R$2),6),0))</f>
        <v/>
      </c>
    </row>
    <row r="12" spans="1:18" x14ac:dyDescent="0.25">
      <c r="A12" s="18">
        <f>IF(Setup!B26="","",Setup!A26)</f>
        <v>8</v>
      </c>
      <c r="B12" s="19" t="str">
        <f>IF(Setup!B26="","",Setup!B26)</f>
        <v>Vihaan Gupta</v>
      </c>
      <c r="C12" s="25">
        <f>IF(N('Apr'!AK13)=0,"",'Apr'!AH13/'Apr'!AK13)</f>
        <v>0.9230769230769231</v>
      </c>
      <c r="D12" s="25" t="str">
        <f>IF(N('May'!AK13)=0,"",'May'!AH13/'May'!AK13)</f>
        <v/>
      </c>
      <c r="E12" s="25" t="str">
        <f>IF(N('Jun'!AK13)=0,"",'Jun'!AH13/'Jun'!AK13)</f>
        <v/>
      </c>
      <c r="F12" s="25" t="str">
        <f>IF(N('Jul'!AK13)=0,"",'Jul'!AH13/'Jul'!AK13)</f>
        <v/>
      </c>
      <c r="G12" s="25" t="str">
        <f>IF(N('Aug'!AK13)=0,"",'Aug'!AH13/'Aug'!AK13)</f>
        <v/>
      </c>
      <c r="H12" s="25" t="str">
        <f>IF(N('Sep'!AK13)=0,"",'Sep'!AH13/'Sep'!AK13)</f>
        <v/>
      </c>
      <c r="I12" s="25" t="str">
        <f>IF(N('Oct'!AK13)=0,"",'Oct'!AH13/'Oct'!AK13)</f>
        <v/>
      </c>
      <c r="J12" s="25" t="str">
        <f>IF(N('Nov'!AK13)=0,"",'Nov'!AH13/'Nov'!AK13)</f>
        <v/>
      </c>
      <c r="K12" s="25" t="str">
        <f>IF(N('Dec'!AK13)=0,"",'Dec'!AH13/'Dec'!AK13)</f>
        <v/>
      </c>
      <c r="L12" s="25" t="str">
        <f>IF(N('Jan'!AK13)=0,"",'Jan'!AH13/'Jan'!AK13)</f>
        <v/>
      </c>
      <c r="M12" s="25" t="str">
        <f>IF(N('Feb'!AK13)=0,"",'Feb'!AH13/'Feb'!AK13)</f>
        <v/>
      </c>
      <c r="N12" s="25" t="str">
        <f>IF(N('Mar'!AK13)=0,"",'Mar'!AH13/'Mar'!AK13)</f>
        <v/>
      </c>
      <c r="O12" s="21">
        <f>IF($B12="","",SUM('Apr'!AH13,'May'!AH13,'Jun'!AH13,'Jul'!AH13,'Aug'!AH13,'Sep'!AH13,'Oct'!AH13,'Nov'!AH13,'Dec'!AH13,'Jan'!AH13,'Feb'!AH13,'Mar'!AH13))</f>
        <v>24</v>
      </c>
      <c r="P12" s="21">
        <f>IF($B12="","",SUM('Apr'!AK13,'May'!AK13,'Jun'!AK13,'Jul'!AK13,'Aug'!AK13,'Sep'!AK13,'Oct'!AK13,'Nov'!AK13,'Dec'!AK13,'Jan'!AK13,'Feb'!AK13,'Mar'!AK13))</f>
        <v>26</v>
      </c>
      <c r="Q12" s="22">
        <f>IF(N(P12)=0,"",O12/P12)</f>
        <v>0.9230769230769231</v>
      </c>
      <c r="R12" s="21" t="str">
        <f>IF(OR(N(P12)=0,Q12&gt;=$R$2),"",ROUNDUP(ROUND(($R$2*P12-O12)/(1-$R$2),6),0))</f>
        <v/>
      </c>
    </row>
    <row r="13" spans="1:18" x14ac:dyDescent="0.25">
      <c r="A13" s="18" t="str">
        <f>IF(Setup!B27="","",Setup!A27)</f>
        <v/>
      </c>
      <c r="B13" s="19" t="str">
        <f>IF(Setup!B27="","",Setup!B27)</f>
        <v/>
      </c>
      <c r="C13" s="25" t="str">
        <f>IF(N('Apr'!AK14)=0,"",'Apr'!AH14/'Apr'!AK14)</f>
        <v/>
      </c>
      <c r="D13" s="25" t="str">
        <f>IF(N('May'!AK14)=0,"",'May'!AH14/'May'!AK14)</f>
        <v/>
      </c>
      <c r="E13" s="25" t="str">
        <f>IF(N('Jun'!AK14)=0,"",'Jun'!AH14/'Jun'!AK14)</f>
        <v/>
      </c>
      <c r="F13" s="25" t="str">
        <f>IF(N('Jul'!AK14)=0,"",'Jul'!AH14/'Jul'!AK14)</f>
        <v/>
      </c>
      <c r="G13" s="25" t="str">
        <f>IF(N('Aug'!AK14)=0,"",'Aug'!AH14/'Aug'!AK14)</f>
        <v/>
      </c>
      <c r="H13" s="25" t="str">
        <f>IF(N('Sep'!AK14)=0,"",'Sep'!AH14/'Sep'!AK14)</f>
        <v/>
      </c>
      <c r="I13" s="25" t="str">
        <f>IF(N('Oct'!AK14)=0,"",'Oct'!AH14/'Oct'!AK14)</f>
        <v/>
      </c>
      <c r="J13" s="25" t="str">
        <f>IF(N('Nov'!AK14)=0,"",'Nov'!AH14/'Nov'!AK14)</f>
        <v/>
      </c>
      <c r="K13" s="25" t="str">
        <f>IF(N('Dec'!AK14)=0,"",'Dec'!AH14/'Dec'!AK14)</f>
        <v/>
      </c>
      <c r="L13" s="25" t="str">
        <f>IF(N('Jan'!AK14)=0,"",'Jan'!AH14/'Jan'!AK14)</f>
        <v/>
      </c>
      <c r="M13" s="25" t="str">
        <f>IF(N('Feb'!AK14)=0,"",'Feb'!AH14/'Feb'!AK14)</f>
        <v/>
      </c>
      <c r="N13" s="25" t="str">
        <f>IF(N('Mar'!AK14)=0,"",'Mar'!AH14/'Mar'!AK14)</f>
        <v/>
      </c>
      <c r="O13" s="21" t="str">
        <f>IF($B13="","",SUM('Apr'!AH14,'May'!AH14,'Jun'!AH14,'Jul'!AH14,'Aug'!AH14,'Sep'!AH14,'Oct'!AH14,'Nov'!AH14,'Dec'!AH14,'Jan'!AH14,'Feb'!AH14,'Mar'!AH14))</f>
        <v/>
      </c>
      <c r="P13" s="21" t="str">
        <f>IF($B13="","",SUM('Apr'!AK14,'May'!AK14,'Jun'!AK14,'Jul'!AK14,'Aug'!AK14,'Sep'!AK14,'Oct'!AK14,'Nov'!AK14,'Dec'!AK14,'Jan'!AK14,'Feb'!AK14,'Mar'!AK14))</f>
        <v/>
      </c>
      <c r="Q13" s="22" t="str">
        <f>IF(N(P13)=0,"",O13/P13)</f>
        <v/>
      </c>
      <c r="R13" s="21" t="str">
        <f>IF(OR(N(P13)=0,Q13&gt;=$R$2),"",ROUNDUP(ROUND(($R$2*P13-O13)/(1-$R$2),6),0))</f>
        <v/>
      </c>
    </row>
    <row r="14" spans="1:18" x14ac:dyDescent="0.25">
      <c r="A14" s="18" t="str">
        <f>IF(Setup!B28="","",Setup!A28)</f>
        <v/>
      </c>
      <c r="B14" s="19" t="str">
        <f>IF(Setup!B28="","",Setup!B28)</f>
        <v/>
      </c>
      <c r="C14" s="25" t="str">
        <f>IF(N('Apr'!AK15)=0,"",'Apr'!AH15/'Apr'!AK15)</f>
        <v/>
      </c>
      <c r="D14" s="25" t="str">
        <f>IF(N('May'!AK15)=0,"",'May'!AH15/'May'!AK15)</f>
        <v/>
      </c>
      <c r="E14" s="25" t="str">
        <f>IF(N('Jun'!AK15)=0,"",'Jun'!AH15/'Jun'!AK15)</f>
        <v/>
      </c>
      <c r="F14" s="25" t="str">
        <f>IF(N('Jul'!AK15)=0,"",'Jul'!AH15/'Jul'!AK15)</f>
        <v/>
      </c>
      <c r="G14" s="25" t="str">
        <f>IF(N('Aug'!AK15)=0,"",'Aug'!AH15/'Aug'!AK15)</f>
        <v/>
      </c>
      <c r="H14" s="25" t="str">
        <f>IF(N('Sep'!AK15)=0,"",'Sep'!AH15/'Sep'!AK15)</f>
        <v/>
      </c>
      <c r="I14" s="25" t="str">
        <f>IF(N('Oct'!AK15)=0,"",'Oct'!AH15/'Oct'!AK15)</f>
        <v/>
      </c>
      <c r="J14" s="25" t="str">
        <f>IF(N('Nov'!AK15)=0,"",'Nov'!AH15/'Nov'!AK15)</f>
        <v/>
      </c>
      <c r="K14" s="25" t="str">
        <f>IF(N('Dec'!AK15)=0,"",'Dec'!AH15/'Dec'!AK15)</f>
        <v/>
      </c>
      <c r="L14" s="25" t="str">
        <f>IF(N('Jan'!AK15)=0,"",'Jan'!AH15/'Jan'!AK15)</f>
        <v/>
      </c>
      <c r="M14" s="25" t="str">
        <f>IF(N('Feb'!AK15)=0,"",'Feb'!AH15/'Feb'!AK15)</f>
        <v/>
      </c>
      <c r="N14" s="25" t="str">
        <f>IF(N('Mar'!AK15)=0,"",'Mar'!AH15/'Mar'!AK15)</f>
        <v/>
      </c>
      <c r="O14" s="21" t="str">
        <f>IF($B14="","",SUM('Apr'!AH15,'May'!AH15,'Jun'!AH15,'Jul'!AH15,'Aug'!AH15,'Sep'!AH15,'Oct'!AH15,'Nov'!AH15,'Dec'!AH15,'Jan'!AH15,'Feb'!AH15,'Mar'!AH15))</f>
        <v/>
      </c>
      <c r="P14" s="21" t="str">
        <f>IF($B14="","",SUM('Apr'!AK15,'May'!AK15,'Jun'!AK15,'Jul'!AK15,'Aug'!AK15,'Sep'!AK15,'Oct'!AK15,'Nov'!AK15,'Dec'!AK15,'Jan'!AK15,'Feb'!AK15,'Mar'!AK15))</f>
        <v/>
      </c>
      <c r="Q14" s="22" t="str">
        <f>IF(N(P14)=0,"",O14/P14)</f>
        <v/>
      </c>
      <c r="R14" s="21" t="str">
        <f>IF(OR(N(P14)=0,Q14&gt;=$R$2),"",ROUNDUP(ROUND(($R$2*P14-O14)/(1-$R$2),6),0))</f>
        <v/>
      </c>
    </row>
    <row r="15" spans="1:18" x14ac:dyDescent="0.25">
      <c r="A15" s="18" t="str">
        <f>IF(Setup!B29="","",Setup!A29)</f>
        <v/>
      </c>
      <c r="B15" s="19" t="str">
        <f>IF(Setup!B29="","",Setup!B29)</f>
        <v/>
      </c>
      <c r="C15" s="25" t="str">
        <f>IF(N('Apr'!AK16)=0,"",'Apr'!AH16/'Apr'!AK16)</f>
        <v/>
      </c>
      <c r="D15" s="25" t="str">
        <f>IF(N('May'!AK16)=0,"",'May'!AH16/'May'!AK16)</f>
        <v/>
      </c>
      <c r="E15" s="25" t="str">
        <f>IF(N('Jun'!AK16)=0,"",'Jun'!AH16/'Jun'!AK16)</f>
        <v/>
      </c>
      <c r="F15" s="25" t="str">
        <f>IF(N('Jul'!AK16)=0,"",'Jul'!AH16/'Jul'!AK16)</f>
        <v/>
      </c>
      <c r="G15" s="25" t="str">
        <f>IF(N('Aug'!AK16)=0,"",'Aug'!AH16/'Aug'!AK16)</f>
        <v/>
      </c>
      <c r="H15" s="25" t="str">
        <f>IF(N('Sep'!AK16)=0,"",'Sep'!AH16/'Sep'!AK16)</f>
        <v/>
      </c>
      <c r="I15" s="25" t="str">
        <f>IF(N('Oct'!AK16)=0,"",'Oct'!AH16/'Oct'!AK16)</f>
        <v/>
      </c>
      <c r="J15" s="25" t="str">
        <f>IF(N('Nov'!AK16)=0,"",'Nov'!AH16/'Nov'!AK16)</f>
        <v/>
      </c>
      <c r="K15" s="25" t="str">
        <f>IF(N('Dec'!AK16)=0,"",'Dec'!AH16/'Dec'!AK16)</f>
        <v/>
      </c>
      <c r="L15" s="25" t="str">
        <f>IF(N('Jan'!AK16)=0,"",'Jan'!AH16/'Jan'!AK16)</f>
        <v/>
      </c>
      <c r="M15" s="25" t="str">
        <f>IF(N('Feb'!AK16)=0,"",'Feb'!AH16/'Feb'!AK16)</f>
        <v/>
      </c>
      <c r="N15" s="25" t="str">
        <f>IF(N('Mar'!AK16)=0,"",'Mar'!AH16/'Mar'!AK16)</f>
        <v/>
      </c>
      <c r="O15" s="21" t="str">
        <f>IF($B15="","",SUM('Apr'!AH16,'May'!AH16,'Jun'!AH16,'Jul'!AH16,'Aug'!AH16,'Sep'!AH16,'Oct'!AH16,'Nov'!AH16,'Dec'!AH16,'Jan'!AH16,'Feb'!AH16,'Mar'!AH16))</f>
        <v/>
      </c>
      <c r="P15" s="21" t="str">
        <f>IF($B15="","",SUM('Apr'!AK16,'May'!AK16,'Jun'!AK16,'Jul'!AK16,'Aug'!AK16,'Sep'!AK16,'Oct'!AK16,'Nov'!AK16,'Dec'!AK16,'Jan'!AK16,'Feb'!AK16,'Mar'!AK16))</f>
        <v/>
      </c>
      <c r="Q15" s="22" t="str">
        <f>IF(N(P15)=0,"",O15/P15)</f>
        <v/>
      </c>
      <c r="R15" s="21" t="str">
        <f>IF(OR(N(P15)=0,Q15&gt;=$R$2),"",ROUNDUP(ROUND(($R$2*P15-O15)/(1-$R$2),6),0))</f>
        <v/>
      </c>
    </row>
    <row r="16" spans="1:18" x14ac:dyDescent="0.25">
      <c r="A16" s="18" t="str">
        <f>IF(Setup!B30="","",Setup!A30)</f>
        <v/>
      </c>
      <c r="B16" s="19" t="str">
        <f>IF(Setup!B30="","",Setup!B30)</f>
        <v/>
      </c>
      <c r="C16" s="25" t="str">
        <f>IF(N('Apr'!AK17)=0,"",'Apr'!AH17/'Apr'!AK17)</f>
        <v/>
      </c>
      <c r="D16" s="25" t="str">
        <f>IF(N('May'!AK17)=0,"",'May'!AH17/'May'!AK17)</f>
        <v/>
      </c>
      <c r="E16" s="25" t="str">
        <f>IF(N('Jun'!AK17)=0,"",'Jun'!AH17/'Jun'!AK17)</f>
        <v/>
      </c>
      <c r="F16" s="25" t="str">
        <f>IF(N('Jul'!AK17)=0,"",'Jul'!AH17/'Jul'!AK17)</f>
        <v/>
      </c>
      <c r="G16" s="25" t="str">
        <f>IF(N('Aug'!AK17)=0,"",'Aug'!AH17/'Aug'!AK17)</f>
        <v/>
      </c>
      <c r="H16" s="25" t="str">
        <f>IF(N('Sep'!AK17)=0,"",'Sep'!AH17/'Sep'!AK17)</f>
        <v/>
      </c>
      <c r="I16" s="25" t="str">
        <f>IF(N('Oct'!AK17)=0,"",'Oct'!AH17/'Oct'!AK17)</f>
        <v/>
      </c>
      <c r="J16" s="25" t="str">
        <f>IF(N('Nov'!AK17)=0,"",'Nov'!AH17/'Nov'!AK17)</f>
        <v/>
      </c>
      <c r="K16" s="25" t="str">
        <f>IF(N('Dec'!AK17)=0,"",'Dec'!AH17/'Dec'!AK17)</f>
        <v/>
      </c>
      <c r="L16" s="25" t="str">
        <f>IF(N('Jan'!AK17)=0,"",'Jan'!AH17/'Jan'!AK17)</f>
        <v/>
      </c>
      <c r="M16" s="25" t="str">
        <f>IF(N('Feb'!AK17)=0,"",'Feb'!AH17/'Feb'!AK17)</f>
        <v/>
      </c>
      <c r="N16" s="25" t="str">
        <f>IF(N('Mar'!AK17)=0,"",'Mar'!AH17/'Mar'!AK17)</f>
        <v/>
      </c>
      <c r="O16" s="21" t="str">
        <f>IF($B16="","",SUM('Apr'!AH17,'May'!AH17,'Jun'!AH17,'Jul'!AH17,'Aug'!AH17,'Sep'!AH17,'Oct'!AH17,'Nov'!AH17,'Dec'!AH17,'Jan'!AH17,'Feb'!AH17,'Mar'!AH17))</f>
        <v/>
      </c>
      <c r="P16" s="21" t="str">
        <f>IF($B16="","",SUM('Apr'!AK17,'May'!AK17,'Jun'!AK17,'Jul'!AK17,'Aug'!AK17,'Sep'!AK17,'Oct'!AK17,'Nov'!AK17,'Dec'!AK17,'Jan'!AK17,'Feb'!AK17,'Mar'!AK17))</f>
        <v/>
      </c>
      <c r="Q16" s="22" t="str">
        <f>IF(N(P16)=0,"",O16/P16)</f>
        <v/>
      </c>
      <c r="R16" s="21" t="str">
        <f>IF(OR(N(P16)=0,Q16&gt;=$R$2),"",ROUNDUP(ROUND(($R$2*P16-O16)/(1-$R$2),6),0))</f>
        <v/>
      </c>
    </row>
    <row r="17" spans="1:18" x14ac:dyDescent="0.25">
      <c r="A17" s="18" t="str">
        <f>IF(Setup!B31="","",Setup!A31)</f>
        <v/>
      </c>
      <c r="B17" s="19" t="str">
        <f>IF(Setup!B31="","",Setup!B31)</f>
        <v/>
      </c>
      <c r="C17" s="25" t="str">
        <f>IF(N('Apr'!AK18)=0,"",'Apr'!AH18/'Apr'!AK18)</f>
        <v/>
      </c>
      <c r="D17" s="25" t="str">
        <f>IF(N('May'!AK18)=0,"",'May'!AH18/'May'!AK18)</f>
        <v/>
      </c>
      <c r="E17" s="25" t="str">
        <f>IF(N('Jun'!AK18)=0,"",'Jun'!AH18/'Jun'!AK18)</f>
        <v/>
      </c>
      <c r="F17" s="25" t="str">
        <f>IF(N('Jul'!AK18)=0,"",'Jul'!AH18/'Jul'!AK18)</f>
        <v/>
      </c>
      <c r="G17" s="25" t="str">
        <f>IF(N('Aug'!AK18)=0,"",'Aug'!AH18/'Aug'!AK18)</f>
        <v/>
      </c>
      <c r="H17" s="25" t="str">
        <f>IF(N('Sep'!AK18)=0,"",'Sep'!AH18/'Sep'!AK18)</f>
        <v/>
      </c>
      <c r="I17" s="25" t="str">
        <f>IF(N('Oct'!AK18)=0,"",'Oct'!AH18/'Oct'!AK18)</f>
        <v/>
      </c>
      <c r="J17" s="25" t="str">
        <f>IF(N('Nov'!AK18)=0,"",'Nov'!AH18/'Nov'!AK18)</f>
        <v/>
      </c>
      <c r="K17" s="25" t="str">
        <f>IF(N('Dec'!AK18)=0,"",'Dec'!AH18/'Dec'!AK18)</f>
        <v/>
      </c>
      <c r="L17" s="25" t="str">
        <f>IF(N('Jan'!AK18)=0,"",'Jan'!AH18/'Jan'!AK18)</f>
        <v/>
      </c>
      <c r="M17" s="25" t="str">
        <f>IF(N('Feb'!AK18)=0,"",'Feb'!AH18/'Feb'!AK18)</f>
        <v/>
      </c>
      <c r="N17" s="25" t="str">
        <f>IF(N('Mar'!AK18)=0,"",'Mar'!AH18/'Mar'!AK18)</f>
        <v/>
      </c>
      <c r="O17" s="21" t="str">
        <f>IF($B17="","",SUM('Apr'!AH18,'May'!AH18,'Jun'!AH18,'Jul'!AH18,'Aug'!AH18,'Sep'!AH18,'Oct'!AH18,'Nov'!AH18,'Dec'!AH18,'Jan'!AH18,'Feb'!AH18,'Mar'!AH18))</f>
        <v/>
      </c>
      <c r="P17" s="21" t="str">
        <f>IF($B17="","",SUM('Apr'!AK18,'May'!AK18,'Jun'!AK18,'Jul'!AK18,'Aug'!AK18,'Sep'!AK18,'Oct'!AK18,'Nov'!AK18,'Dec'!AK18,'Jan'!AK18,'Feb'!AK18,'Mar'!AK18))</f>
        <v/>
      </c>
      <c r="Q17" s="22" t="str">
        <f>IF(N(P17)=0,"",O17/P17)</f>
        <v/>
      </c>
      <c r="R17" s="21" t="str">
        <f>IF(OR(N(P17)=0,Q17&gt;=$R$2),"",ROUNDUP(ROUND(($R$2*P17-O17)/(1-$R$2),6),0))</f>
        <v/>
      </c>
    </row>
    <row r="18" spans="1:18" x14ac:dyDescent="0.25">
      <c r="A18" s="18" t="str">
        <f>IF(Setup!B32="","",Setup!A32)</f>
        <v/>
      </c>
      <c r="B18" s="19" t="str">
        <f>IF(Setup!B32="","",Setup!B32)</f>
        <v/>
      </c>
      <c r="C18" s="25" t="str">
        <f>IF(N('Apr'!AK19)=0,"",'Apr'!AH19/'Apr'!AK19)</f>
        <v/>
      </c>
      <c r="D18" s="25" t="str">
        <f>IF(N('May'!AK19)=0,"",'May'!AH19/'May'!AK19)</f>
        <v/>
      </c>
      <c r="E18" s="25" t="str">
        <f>IF(N('Jun'!AK19)=0,"",'Jun'!AH19/'Jun'!AK19)</f>
        <v/>
      </c>
      <c r="F18" s="25" t="str">
        <f>IF(N('Jul'!AK19)=0,"",'Jul'!AH19/'Jul'!AK19)</f>
        <v/>
      </c>
      <c r="G18" s="25" t="str">
        <f>IF(N('Aug'!AK19)=0,"",'Aug'!AH19/'Aug'!AK19)</f>
        <v/>
      </c>
      <c r="H18" s="25" t="str">
        <f>IF(N('Sep'!AK19)=0,"",'Sep'!AH19/'Sep'!AK19)</f>
        <v/>
      </c>
      <c r="I18" s="25" t="str">
        <f>IF(N('Oct'!AK19)=0,"",'Oct'!AH19/'Oct'!AK19)</f>
        <v/>
      </c>
      <c r="J18" s="25" t="str">
        <f>IF(N('Nov'!AK19)=0,"",'Nov'!AH19/'Nov'!AK19)</f>
        <v/>
      </c>
      <c r="K18" s="25" t="str">
        <f>IF(N('Dec'!AK19)=0,"",'Dec'!AH19/'Dec'!AK19)</f>
        <v/>
      </c>
      <c r="L18" s="25" t="str">
        <f>IF(N('Jan'!AK19)=0,"",'Jan'!AH19/'Jan'!AK19)</f>
        <v/>
      </c>
      <c r="M18" s="25" t="str">
        <f>IF(N('Feb'!AK19)=0,"",'Feb'!AH19/'Feb'!AK19)</f>
        <v/>
      </c>
      <c r="N18" s="25" t="str">
        <f>IF(N('Mar'!AK19)=0,"",'Mar'!AH19/'Mar'!AK19)</f>
        <v/>
      </c>
      <c r="O18" s="21" t="str">
        <f>IF($B18="","",SUM('Apr'!AH19,'May'!AH19,'Jun'!AH19,'Jul'!AH19,'Aug'!AH19,'Sep'!AH19,'Oct'!AH19,'Nov'!AH19,'Dec'!AH19,'Jan'!AH19,'Feb'!AH19,'Mar'!AH19))</f>
        <v/>
      </c>
      <c r="P18" s="21" t="str">
        <f>IF($B18="","",SUM('Apr'!AK19,'May'!AK19,'Jun'!AK19,'Jul'!AK19,'Aug'!AK19,'Sep'!AK19,'Oct'!AK19,'Nov'!AK19,'Dec'!AK19,'Jan'!AK19,'Feb'!AK19,'Mar'!AK19))</f>
        <v/>
      </c>
      <c r="Q18" s="22" t="str">
        <f>IF(N(P18)=0,"",O18/P18)</f>
        <v/>
      </c>
      <c r="R18" s="21" t="str">
        <f>IF(OR(N(P18)=0,Q18&gt;=$R$2),"",ROUNDUP(ROUND(($R$2*P18-O18)/(1-$R$2),6),0))</f>
        <v/>
      </c>
    </row>
    <row r="19" spans="1:18" x14ac:dyDescent="0.25">
      <c r="A19" s="18" t="str">
        <f>IF(Setup!B33="","",Setup!A33)</f>
        <v/>
      </c>
      <c r="B19" s="19" t="str">
        <f>IF(Setup!B33="","",Setup!B33)</f>
        <v/>
      </c>
      <c r="C19" s="25" t="str">
        <f>IF(N('Apr'!AK20)=0,"",'Apr'!AH20/'Apr'!AK20)</f>
        <v/>
      </c>
      <c r="D19" s="25" t="str">
        <f>IF(N('May'!AK20)=0,"",'May'!AH20/'May'!AK20)</f>
        <v/>
      </c>
      <c r="E19" s="25" t="str">
        <f>IF(N('Jun'!AK20)=0,"",'Jun'!AH20/'Jun'!AK20)</f>
        <v/>
      </c>
      <c r="F19" s="25" t="str">
        <f>IF(N('Jul'!AK20)=0,"",'Jul'!AH20/'Jul'!AK20)</f>
        <v/>
      </c>
      <c r="G19" s="25" t="str">
        <f>IF(N('Aug'!AK20)=0,"",'Aug'!AH20/'Aug'!AK20)</f>
        <v/>
      </c>
      <c r="H19" s="25" t="str">
        <f>IF(N('Sep'!AK20)=0,"",'Sep'!AH20/'Sep'!AK20)</f>
        <v/>
      </c>
      <c r="I19" s="25" t="str">
        <f>IF(N('Oct'!AK20)=0,"",'Oct'!AH20/'Oct'!AK20)</f>
        <v/>
      </c>
      <c r="J19" s="25" t="str">
        <f>IF(N('Nov'!AK20)=0,"",'Nov'!AH20/'Nov'!AK20)</f>
        <v/>
      </c>
      <c r="K19" s="25" t="str">
        <f>IF(N('Dec'!AK20)=0,"",'Dec'!AH20/'Dec'!AK20)</f>
        <v/>
      </c>
      <c r="L19" s="25" t="str">
        <f>IF(N('Jan'!AK20)=0,"",'Jan'!AH20/'Jan'!AK20)</f>
        <v/>
      </c>
      <c r="M19" s="25" t="str">
        <f>IF(N('Feb'!AK20)=0,"",'Feb'!AH20/'Feb'!AK20)</f>
        <v/>
      </c>
      <c r="N19" s="25" t="str">
        <f>IF(N('Mar'!AK20)=0,"",'Mar'!AH20/'Mar'!AK20)</f>
        <v/>
      </c>
      <c r="O19" s="21" t="str">
        <f>IF($B19="","",SUM('Apr'!AH20,'May'!AH20,'Jun'!AH20,'Jul'!AH20,'Aug'!AH20,'Sep'!AH20,'Oct'!AH20,'Nov'!AH20,'Dec'!AH20,'Jan'!AH20,'Feb'!AH20,'Mar'!AH20))</f>
        <v/>
      </c>
      <c r="P19" s="21" t="str">
        <f>IF($B19="","",SUM('Apr'!AK20,'May'!AK20,'Jun'!AK20,'Jul'!AK20,'Aug'!AK20,'Sep'!AK20,'Oct'!AK20,'Nov'!AK20,'Dec'!AK20,'Jan'!AK20,'Feb'!AK20,'Mar'!AK20))</f>
        <v/>
      </c>
      <c r="Q19" s="22" t="str">
        <f>IF(N(P19)=0,"",O19/P19)</f>
        <v/>
      </c>
      <c r="R19" s="21" t="str">
        <f>IF(OR(N(P19)=0,Q19&gt;=$R$2),"",ROUNDUP(ROUND(($R$2*P19-O19)/(1-$R$2),6),0))</f>
        <v/>
      </c>
    </row>
    <row r="20" spans="1:18" x14ac:dyDescent="0.25">
      <c r="A20" s="18" t="str">
        <f>IF(Setup!B34="","",Setup!A34)</f>
        <v/>
      </c>
      <c r="B20" s="19" t="str">
        <f>IF(Setup!B34="","",Setup!B34)</f>
        <v/>
      </c>
      <c r="C20" s="25" t="str">
        <f>IF(N('Apr'!AK21)=0,"",'Apr'!AH21/'Apr'!AK21)</f>
        <v/>
      </c>
      <c r="D20" s="25" t="str">
        <f>IF(N('May'!AK21)=0,"",'May'!AH21/'May'!AK21)</f>
        <v/>
      </c>
      <c r="E20" s="25" t="str">
        <f>IF(N('Jun'!AK21)=0,"",'Jun'!AH21/'Jun'!AK21)</f>
        <v/>
      </c>
      <c r="F20" s="25" t="str">
        <f>IF(N('Jul'!AK21)=0,"",'Jul'!AH21/'Jul'!AK21)</f>
        <v/>
      </c>
      <c r="G20" s="25" t="str">
        <f>IF(N('Aug'!AK21)=0,"",'Aug'!AH21/'Aug'!AK21)</f>
        <v/>
      </c>
      <c r="H20" s="25" t="str">
        <f>IF(N('Sep'!AK21)=0,"",'Sep'!AH21/'Sep'!AK21)</f>
        <v/>
      </c>
      <c r="I20" s="25" t="str">
        <f>IF(N('Oct'!AK21)=0,"",'Oct'!AH21/'Oct'!AK21)</f>
        <v/>
      </c>
      <c r="J20" s="25" t="str">
        <f>IF(N('Nov'!AK21)=0,"",'Nov'!AH21/'Nov'!AK21)</f>
        <v/>
      </c>
      <c r="K20" s="25" t="str">
        <f>IF(N('Dec'!AK21)=0,"",'Dec'!AH21/'Dec'!AK21)</f>
        <v/>
      </c>
      <c r="L20" s="25" t="str">
        <f>IF(N('Jan'!AK21)=0,"",'Jan'!AH21/'Jan'!AK21)</f>
        <v/>
      </c>
      <c r="M20" s="25" t="str">
        <f>IF(N('Feb'!AK21)=0,"",'Feb'!AH21/'Feb'!AK21)</f>
        <v/>
      </c>
      <c r="N20" s="25" t="str">
        <f>IF(N('Mar'!AK21)=0,"",'Mar'!AH21/'Mar'!AK21)</f>
        <v/>
      </c>
      <c r="O20" s="21" t="str">
        <f>IF($B20="","",SUM('Apr'!AH21,'May'!AH21,'Jun'!AH21,'Jul'!AH21,'Aug'!AH21,'Sep'!AH21,'Oct'!AH21,'Nov'!AH21,'Dec'!AH21,'Jan'!AH21,'Feb'!AH21,'Mar'!AH21))</f>
        <v/>
      </c>
      <c r="P20" s="21" t="str">
        <f>IF($B20="","",SUM('Apr'!AK21,'May'!AK21,'Jun'!AK21,'Jul'!AK21,'Aug'!AK21,'Sep'!AK21,'Oct'!AK21,'Nov'!AK21,'Dec'!AK21,'Jan'!AK21,'Feb'!AK21,'Mar'!AK21))</f>
        <v/>
      </c>
      <c r="Q20" s="22" t="str">
        <f>IF(N(P20)=0,"",O20/P20)</f>
        <v/>
      </c>
      <c r="R20" s="21" t="str">
        <f>IF(OR(N(P20)=0,Q20&gt;=$R$2),"",ROUNDUP(ROUND(($R$2*P20-O20)/(1-$R$2),6),0))</f>
        <v/>
      </c>
    </row>
    <row r="21" spans="1:18" x14ac:dyDescent="0.25">
      <c r="A21" s="18" t="str">
        <f>IF(Setup!B35="","",Setup!A35)</f>
        <v/>
      </c>
      <c r="B21" s="19" t="str">
        <f>IF(Setup!B35="","",Setup!B35)</f>
        <v/>
      </c>
      <c r="C21" s="25" t="str">
        <f>IF(N('Apr'!AK22)=0,"",'Apr'!AH22/'Apr'!AK22)</f>
        <v/>
      </c>
      <c r="D21" s="25" t="str">
        <f>IF(N('May'!AK22)=0,"",'May'!AH22/'May'!AK22)</f>
        <v/>
      </c>
      <c r="E21" s="25" t="str">
        <f>IF(N('Jun'!AK22)=0,"",'Jun'!AH22/'Jun'!AK22)</f>
        <v/>
      </c>
      <c r="F21" s="25" t="str">
        <f>IF(N('Jul'!AK22)=0,"",'Jul'!AH22/'Jul'!AK22)</f>
        <v/>
      </c>
      <c r="G21" s="25" t="str">
        <f>IF(N('Aug'!AK22)=0,"",'Aug'!AH22/'Aug'!AK22)</f>
        <v/>
      </c>
      <c r="H21" s="25" t="str">
        <f>IF(N('Sep'!AK22)=0,"",'Sep'!AH22/'Sep'!AK22)</f>
        <v/>
      </c>
      <c r="I21" s="25" t="str">
        <f>IF(N('Oct'!AK22)=0,"",'Oct'!AH22/'Oct'!AK22)</f>
        <v/>
      </c>
      <c r="J21" s="25" t="str">
        <f>IF(N('Nov'!AK22)=0,"",'Nov'!AH22/'Nov'!AK22)</f>
        <v/>
      </c>
      <c r="K21" s="25" t="str">
        <f>IF(N('Dec'!AK22)=0,"",'Dec'!AH22/'Dec'!AK22)</f>
        <v/>
      </c>
      <c r="L21" s="25" t="str">
        <f>IF(N('Jan'!AK22)=0,"",'Jan'!AH22/'Jan'!AK22)</f>
        <v/>
      </c>
      <c r="M21" s="25" t="str">
        <f>IF(N('Feb'!AK22)=0,"",'Feb'!AH22/'Feb'!AK22)</f>
        <v/>
      </c>
      <c r="N21" s="25" t="str">
        <f>IF(N('Mar'!AK22)=0,"",'Mar'!AH22/'Mar'!AK22)</f>
        <v/>
      </c>
      <c r="O21" s="21" t="str">
        <f>IF($B21="","",SUM('Apr'!AH22,'May'!AH22,'Jun'!AH22,'Jul'!AH22,'Aug'!AH22,'Sep'!AH22,'Oct'!AH22,'Nov'!AH22,'Dec'!AH22,'Jan'!AH22,'Feb'!AH22,'Mar'!AH22))</f>
        <v/>
      </c>
      <c r="P21" s="21" t="str">
        <f>IF($B21="","",SUM('Apr'!AK22,'May'!AK22,'Jun'!AK22,'Jul'!AK22,'Aug'!AK22,'Sep'!AK22,'Oct'!AK22,'Nov'!AK22,'Dec'!AK22,'Jan'!AK22,'Feb'!AK22,'Mar'!AK22))</f>
        <v/>
      </c>
      <c r="Q21" s="22" t="str">
        <f>IF(N(P21)=0,"",O21/P21)</f>
        <v/>
      </c>
      <c r="R21" s="21" t="str">
        <f>IF(OR(N(P21)=0,Q21&gt;=$R$2),"",ROUNDUP(ROUND(($R$2*P21-O21)/(1-$R$2),6),0))</f>
        <v/>
      </c>
    </row>
    <row r="22" spans="1:18" x14ac:dyDescent="0.25">
      <c r="A22" s="18" t="str">
        <f>IF(Setup!B36="","",Setup!A36)</f>
        <v/>
      </c>
      <c r="B22" s="19" t="str">
        <f>IF(Setup!B36="","",Setup!B36)</f>
        <v/>
      </c>
      <c r="C22" s="25" t="str">
        <f>IF(N('Apr'!AK23)=0,"",'Apr'!AH23/'Apr'!AK23)</f>
        <v/>
      </c>
      <c r="D22" s="25" t="str">
        <f>IF(N('May'!AK23)=0,"",'May'!AH23/'May'!AK23)</f>
        <v/>
      </c>
      <c r="E22" s="25" t="str">
        <f>IF(N('Jun'!AK23)=0,"",'Jun'!AH23/'Jun'!AK23)</f>
        <v/>
      </c>
      <c r="F22" s="25" t="str">
        <f>IF(N('Jul'!AK23)=0,"",'Jul'!AH23/'Jul'!AK23)</f>
        <v/>
      </c>
      <c r="G22" s="25" t="str">
        <f>IF(N('Aug'!AK23)=0,"",'Aug'!AH23/'Aug'!AK23)</f>
        <v/>
      </c>
      <c r="H22" s="25" t="str">
        <f>IF(N('Sep'!AK23)=0,"",'Sep'!AH23/'Sep'!AK23)</f>
        <v/>
      </c>
      <c r="I22" s="25" t="str">
        <f>IF(N('Oct'!AK23)=0,"",'Oct'!AH23/'Oct'!AK23)</f>
        <v/>
      </c>
      <c r="J22" s="25" t="str">
        <f>IF(N('Nov'!AK23)=0,"",'Nov'!AH23/'Nov'!AK23)</f>
        <v/>
      </c>
      <c r="K22" s="25" t="str">
        <f>IF(N('Dec'!AK23)=0,"",'Dec'!AH23/'Dec'!AK23)</f>
        <v/>
      </c>
      <c r="L22" s="25" t="str">
        <f>IF(N('Jan'!AK23)=0,"",'Jan'!AH23/'Jan'!AK23)</f>
        <v/>
      </c>
      <c r="M22" s="25" t="str">
        <f>IF(N('Feb'!AK23)=0,"",'Feb'!AH23/'Feb'!AK23)</f>
        <v/>
      </c>
      <c r="N22" s="25" t="str">
        <f>IF(N('Mar'!AK23)=0,"",'Mar'!AH23/'Mar'!AK23)</f>
        <v/>
      </c>
      <c r="O22" s="21" t="str">
        <f>IF($B22="","",SUM('Apr'!AH23,'May'!AH23,'Jun'!AH23,'Jul'!AH23,'Aug'!AH23,'Sep'!AH23,'Oct'!AH23,'Nov'!AH23,'Dec'!AH23,'Jan'!AH23,'Feb'!AH23,'Mar'!AH23))</f>
        <v/>
      </c>
      <c r="P22" s="21" t="str">
        <f>IF($B22="","",SUM('Apr'!AK23,'May'!AK23,'Jun'!AK23,'Jul'!AK23,'Aug'!AK23,'Sep'!AK23,'Oct'!AK23,'Nov'!AK23,'Dec'!AK23,'Jan'!AK23,'Feb'!AK23,'Mar'!AK23))</f>
        <v/>
      </c>
      <c r="Q22" s="22" t="str">
        <f>IF(N(P22)=0,"",O22/P22)</f>
        <v/>
      </c>
      <c r="R22" s="21" t="str">
        <f>IF(OR(N(P22)=0,Q22&gt;=$R$2),"",ROUNDUP(ROUND(($R$2*P22-O22)/(1-$R$2),6),0))</f>
        <v/>
      </c>
    </row>
    <row r="23" spans="1:18" x14ac:dyDescent="0.25">
      <c r="A23" s="18" t="str">
        <f>IF(Setup!B37="","",Setup!A37)</f>
        <v/>
      </c>
      <c r="B23" s="19" t="str">
        <f>IF(Setup!B37="","",Setup!B37)</f>
        <v/>
      </c>
      <c r="C23" s="25" t="str">
        <f>IF(N('Apr'!AK24)=0,"",'Apr'!AH24/'Apr'!AK24)</f>
        <v/>
      </c>
      <c r="D23" s="25" t="str">
        <f>IF(N('May'!AK24)=0,"",'May'!AH24/'May'!AK24)</f>
        <v/>
      </c>
      <c r="E23" s="25" t="str">
        <f>IF(N('Jun'!AK24)=0,"",'Jun'!AH24/'Jun'!AK24)</f>
        <v/>
      </c>
      <c r="F23" s="25" t="str">
        <f>IF(N('Jul'!AK24)=0,"",'Jul'!AH24/'Jul'!AK24)</f>
        <v/>
      </c>
      <c r="G23" s="25" t="str">
        <f>IF(N('Aug'!AK24)=0,"",'Aug'!AH24/'Aug'!AK24)</f>
        <v/>
      </c>
      <c r="H23" s="25" t="str">
        <f>IF(N('Sep'!AK24)=0,"",'Sep'!AH24/'Sep'!AK24)</f>
        <v/>
      </c>
      <c r="I23" s="25" t="str">
        <f>IF(N('Oct'!AK24)=0,"",'Oct'!AH24/'Oct'!AK24)</f>
        <v/>
      </c>
      <c r="J23" s="25" t="str">
        <f>IF(N('Nov'!AK24)=0,"",'Nov'!AH24/'Nov'!AK24)</f>
        <v/>
      </c>
      <c r="K23" s="25" t="str">
        <f>IF(N('Dec'!AK24)=0,"",'Dec'!AH24/'Dec'!AK24)</f>
        <v/>
      </c>
      <c r="L23" s="25" t="str">
        <f>IF(N('Jan'!AK24)=0,"",'Jan'!AH24/'Jan'!AK24)</f>
        <v/>
      </c>
      <c r="M23" s="25" t="str">
        <f>IF(N('Feb'!AK24)=0,"",'Feb'!AH24/'Feb'!AK24)</f>
        <v/>
      </c>
      <c r="N23" s="25" t="str">
        <f>IF(N('Mar'!AK24)=0,"",'Mar'!AH24/'Mar'!AK24)</f>
        <v/>
      </c>
      <c r="O23" s="21" t="str">
        <f>IF($B23="","",SUM('Apr'!AH24,'May'!AH24,'Jun'!AH24,'Jul'!AH24,'Aug'!AH24,'Sep'!AH24,'Oct'!AH24,'Nov'!AH24,'Dec'!AH24,'Jan'!AH24,'Feb'!AH24,'Mar'!AH24))</f>
        <v/>
      </c>
      <c r="P23" s="21" t="str">
        <f>IF($B23="","",SUM('Apr'!AK24,'May'!AK24,'Jun'!AK24,'Jul'!AK24,'Aug'!AK24,'Sep'!AK24,'Oct'!AK24,'Nov'!AK24,'Dec'!AK24,'Jan'!AK24,'Feb'!AK24,'Mar'!AK24))</f>
        <v/>
      </c>
      <c r="Q23" s="22" t="str">
        <f>IF(N(P23)=0,"",O23/P23)</f>
        <v/>
      </c>
      <c r="R23" s="21" t="str">
        <f>IF(OR(N(P23)=0,Q23&gt;=$R$2),"",ROUNDUP(ROUND(($R$2*P23-O23)/(1-$R$2),6),0))</f>
        <v/>
      </c>
    </row>
    <row r="24" spans="1:18" x14ac:dyDescent="0.25">
      <c r="A24" s="18" t="str">
        <f>IF(Setup!B38="","",Setup!A38)</f>
        <v/>
      </c>
      <c r="B24" s="19" t="str">
        <f>IF(Setup!B38="","",Setup!B38)</f>
        <v/>
      </c>
      <c r="C24" s="25" t="str">
        <f>IF(N('Apr'!AK25)=0,"",'Apr'!AH25/'Apr'!AK25)</f>
        <v/>
      </c>
      <c r="D24" s="25" t="str">
        <f>IF(N('May'!AK25)=0,"",'May'!AH25/'May'!AK25)</f>
        <v/>
      </c>
      <c r="E24" s="25" t="str">
        <f>IF(N('Jun'!AK25)=0,"",'Jun'!AH25/'Jun'!AK25)</f>
        <v/>
      </c>
      <c r="F24" s="25" t="str">
        <f>IF(N('Jul'!AK25)=0,"",'Jul'!AH25/'Jul'!AK25)</f>
        <v/>
      </c>
      <c r="G24" s="25" t="str">
        <f>IF(N('Aug'!AK25)=0,"",'Aug'!AH25/'Aug'!AK25)</f>
        <v/>
      </c>
      <c r="H24" s="25" t="str">
        <f>IF(N('Sep'!AK25)=0,"",'Sep'!AH25/'Sep'!AK25)</f>
        <v/>
      </c>
      <c r="I24" s="25" t="str">
        <f>IF(N('Oct'!AK25)=0,"",'Oct'!AH25/'Oct'!AK25)</f>
        <v/>
      </c>
      <c r="J24" s="25" t="str">
        <f>IF(N('Nov'!AK25)=0,"",'Nov'!AH25/'Nov'!AK25)</f>
        <v/>
      </c>
      <c r="K24" s="25" t="str">
        <f>IF(N('Dec'!AK25)=0,"",'Dec'!AH25/'Dec'!AK25)</f>
        <v/>
      </c>
      <c r="L24" s="25" t="str">
        <f>IF(N('Jan'!AK25)=0,"",'Jan'!AH25/'Jan'!AK25)</f>
        <v/>
      </c>
      <c r="M24" s="25" t="str">
        <f>IF(N('Feb'!AK25)=0,"",'Feb'!AH25/'Feb'!AK25)</f>
        <v/>
      </c>
      <c r="N24" s="25" t="str">
        <f>IF(N('Mar'!AK25)=0,"",'Mar'!AH25/'Mar'!AK25)</f>
        <v/>
      </c>
      <c r="O24" s="21" t="str">
        <f>IF($B24="","",SUM('Apr'!AH25,'May'!AH25,'Jun'!AH25,'Jul'!AH25,'Aug'!AH25,'Sep'!AH25,'Oct'!AH25,'Nov'!AH25,'Dec'!AH25,'Jan'!AH25,'Feb'!AH25,'Mar'!AH25))</f>
        <v/>
      </c>
      <c r="P24" s="21" t="str">
        <f>IF($B24="","",SUM('Apr'!AK25,'May'!AK25,'Jun'!AK25,'Jul'!AK25,'Aug'!AK25,'Sep'!AK25,'Oct'!AK25,'Nov'!AK25,'Dec'!AK25,'Jan'!AK25,'Feb'!AK25,'Mar'!AK25))</f>
        <v/>
      </c>
      <c r="Q24" s="22" t="str">
        <f>IF(N(P24)=0,"",O24/P24)</f>
        <v/>
      </c>
      <c r="R24" s="21" t="str">
        <f>IF(OR(N(P24)=0,Q24&gt;=$R$2),"",ROUNDUP(ROUND(($R$2*P24-O24)/(1-$R$2),6),0))</f>
        <v/>
      </c>
    </row>
    <row r="25" spans="1:18" x14ac:dyDescent="0.25">
      <c r="A25" s="18" t="str">
        <f>IF(Setup!B39="","",Setup!A39)</f>
        <v/>
      </c>
      <c r="B25" s="19" t="str">
        <f>IF(Setup!B39="","",Setup!B39)</f>
        <v/>
      </c>
      <c r="C25" s="25" t="str">
        <f>IF(N('Apr'!AK26)=0,"",'Apr'!AH26/'Apr'!AK26)</f>
        <v/>
      </c>
      <c r="D25" s="25" t="str">
        <f>IF(N('May'!AK26)=0,"",'May'!AH26/'May'!AK26)</f>
        <v/>
      </c>
      <c r="E25" s="25" t="str">
        <f>IF(N('Jun'!AK26)=0,"",'Jun'!AH26/'Jun'!AK26)</f>
        <v/>
      </c>
      <c r="F25" s="25" t="str">
        <f>IF(N('Jul'!AK26)=0,"",'Jul'!AH26/'Jul'!AK26)</f>
        <v/>
      </c>
      <c r="G25" s="25" t="str">
        <f>IF(N('Aug'!AK26)=0,"",'Aug'!AH26/'Aug'!AK26)</f>
        <v/>
      </c>
      <c r="H25" s="25" t="str">
        <f>IF(N('Sep'!AK26)=0,"",'Sep'!AH26/'Sep'!AK26)</f>
        <v/>
      </c>
      <c r="I25" s="25" t="str">
        <f>IF(N('Oct'!AK26)=0,"",'Oct'!AH26/'Oct'!AK26)</f>
        <v/>
      </c>
      <c r="J25" s="25" t="str">
        <f>IF(N('Nov'!AK26)=0,"",'Nov'!AH26/'Nov'!AK26)</f>
        <v/>
      </c>
      <c r="K25" s="25" t="str">
        <f>IF(N('Dec'!AK26)=0,"",'Dec'!AH26/'Dec'!AK26)</f>
        <v/>
      </c>
      <c r="L25" s="25" t="str">
        <f>IF(N('Jan'!AK26)=0,"",'Jan'!AH26/'Jan'!AK26)</f>
        <v/>
      </c>
      <c r="M25" s="25" t="str">
        <f>IF(N('Feb'!AK26)=0,"",'Feb'!AH26/'Feb'!AK26)</f>
        <v/>
      </c>
      <c r="N25" s="25" t="str">
        <f>IF(N('Mar'!AK26)=0,"",'Mar'!AH26/'Mar'!AK26)</f>
        <v/>
      </c>
      <c r="O25" s="21" t="str">
        <f>IF($B25="","",SUM('Apr'!AH26,'May'!AH26,'Jun'!AH26,'Jul'!AH26,'Aug'!AH26,'Sep'!AH26,'Oct'!AH26,'Nov'!AH26,'Dec'!AH26,'Jan'!AH26,'Feb'!AH26,'Mar'!AH26))</f>
        <v/>
      </c>
      <c r="P25" s="21" t="str">
        <f>IF($B25="","",SUM('Apr'!AK26,'May'!AK26,'Jun'!AK26,'Jul'!AK26,'Aug'!AK26,'Sep'!AK26,'Oct'!AK26,'Nov'!AK26,'Dec'!AK26,'Jan'!AK26,'Feb'!AK26,'Mar'!AK26))</f>
        <v/>
      </c>
      <c r="Q25" s="22" t="str">
        <f>IF(N(P25)=0,"",O25/P25)</f>
        <v/>
      </c>
      <c r="R25" s="21" t="str">
        <f>IF(OR(N(P25)=0,Q25&gt;=$R$2),"",ROUNDUP(ROUND(($R$2*P25-O25)/(1-$R$2),6),0))</f>
        <v/>
      </c>
    </row>
    <row r="26" spans="1:18" x14ac:dyDescent="0.25">
      <c r="A26" s="18" t="str">
        <f>IF(Setup!B40="","",Setup!A40)</f>
        <v/>
      </c>
      <c r="B26" s="19" t="str">
        <f>IF(Setup!B40="","",Setup!B40)</f>
        <v/>
      </c>
      <c r="C26" s="25" t="str">
        <f>IF(N('Apr'!AK27)=0,"",'Apr'!AH27/'Apr'!AK27)</f>
        <v/>
      </c>
      <c r="D26" s="25" t="str">
        <f>IF(N('May'!AK27)=0,"",'May'!AH27/'May'!AK27)</f>
        <v/>
      </c>
      <c r="E26" s="25" t="str">
        <f>IF(N('Jun'!AK27)=0,"",'Jun'!AH27/'Jun'!AK27)</f>
        <v/>
      </c>
      <c r="F26" s="25" t="str">
        <f>IF(N('Jul'!AK27)=0,"",'Jul'!AH27/'Jul'!AK27)</f>
        <v/>
      </c>
      <c r="G26" s="25" t="str">
        <f>IF(N('Aug'!AK27)=0,"",'Aug'!AH27/'Aug'!AK27)</f>
        <v/>
      </c>
      <c r="H26" s="25" t="str">
        <f>IF(N('Sep'!AK27)=0,"",'Sep'!AH27/'Sep'!AK27)</f>
        <v/>
      </c>
      <c r="I26" s="25" t="str">
        <f>IF(N('Oct'!AK27)=0,"",'Oct'!AH27/'Oct'!AK27)</f>
        <v/>
      </c>
      <c r="J26" s="25" t="str">
        <f>IF(N('Nov'!AK27)=0,"",'Nov'!AH27/'Nov'!AK27)</f>
        <v/>
      </c>
      <c r="K26" s="25" t="str">
        <f>IF(N('Dec'!AK27)=0,"",'Dec'!AH27/'Dec'!AK27)</f>
        <v/>
      </c>
      <c r="L26" s="25" t="str">
        <f>IF(N('Jan'!AK27)=0,"",'Jan'!AH27/'Jan'!AK27)</f>
        <v/>
      </c>
      <c r="M26" s="25" t="str">
        <f>IF(N('Feb'!AK27)=0,"",'Feb'!AH27/'Feb'!AK27)</f>
        <v/>
      </c>
      <c r="N26" s="25" t="str">
        <f>IF(N('Mar'!AK27)=0,"",'Mar'!AH27/'Mar'!AK27)</f>
        <v/>
      </c>
      <c r="O26" s="21" t="str">
        <f>IF($B26="","",SUM('Apr'!AH27,'May'!AH27,'Jun'!AH27,'Jul'!AH27,'Aug'!AH27,'Sep'!AH27,'Oct'!AH27,'Nov'!AH27,'Dec'!AH27,'Jan'!AH27,'Feb'!AH27,'Mar'!AH27))</f>
        <v/>
      </c>
      <c r="P26" s="21" t="str">
        <f>IF($B26="","",SUM('Apr'!AK27,'May'!AK27,'Jun'!AK27,'Jul'!AK27,'Aug'!AK27,'Sep'!AK27,'Oct'!AK27,'Nov'!AK27,'Dec'!AK27,'Jan'!AK27,'Feb'!AK27,'Mar'!AK27))</f>
        <v/>
      </c>
      <c r="Q26" s="22" t="str">
        <f>IF(N(P26)=0,"",O26/P26)</f>
        <v/>
      </c>
      <c r="R26" s="21" t="str">
        <f>IF(OR(N(P26)=0,Q26&gt;=$R$2),"",ROUNDUP(ROUND(($R$2*P26-O26)/(1-$R$2),6),0))</f>
        <v/>
      </c>
    </row>
    <row r="27" spans="1:18" x14ac:dyDescent="0.25">
      <c r="A27" s="18" t="str">
        <f>IF(Setup!B41="","",Setup!A41)</f>
        <v/>
      </c>
      <c r="B27" s="19" t="str">
        <f>IF(Setup!B41="","",Setup!B41)</f>
        <v/>
      </c>
      <c r="C27" s="25" t="str">
        <f>IF(N('Apr'!AK28)=0,"",'Apr'!AH28/'Apr'!AK28)</f>
        <v/>
      </c>
      <c r="D27" s="25" t="str">
        <f>IF(N('May'!AK28)=0,"",'May'!AH28/'May'!AK28)</f>
        <v/>
      </c>
      <c r="E27" s="25" t="str">
        <f>IF(N('Jun'!AK28)=0,"",'Jun'!AH28/'Jun'!AK28)</f>
        <v/>
      </c>
      <c r="F27" s="25" t="str">
        <f>IF(N('Jul'!AK28)=0,"",'Jul'!AH28/'Jul'!AK28)</f>
        <v/>
      </c>
      <c r="G27" s="25" t="str">
        <f>IF(N('Aug'!AK28)=0,"",'Aug'!AH28/'Aug'!AK28)</f>
        <v/>
      </c>
      <c r="H27" s="25" t="str">
        <f>IF(N('Sep'!AK28)=0,"",'Sep'!AH28/'Sep'!AK28)</f>
        <v/>
      </c>
      <c r="I27" s="25" t="str">
        <f>IF(N('Oct'!AK28)=0,"",'Oct'!AH28/'Oct'!AK28)</f>
        <v/>
      </c>
      <c r="J27" s="25" t="str">
        <f>IF(N('Nov'!AK28)=0,"",'Nov'!AH28/'Nov'!AK28)</f>
        <v/>
      </c>
      <c r="K27" s="25" t="str">
        <f>IF(N('Dec'!AK28)=0,"",'Dec'!AH28/'Dec'!AK28)</f>
        <v/>
      </c>
      <c r="L27" s="25" t="str">
        <f>IF(N('Jan'!AK28)=0,"",'Jan'!AH28/'Jan'!AK28)</f>
        <v/>
      </c>
      <c r="M27" s="25" t="str">
        <f>IF(N('Feb'!AK28)=0,"",'Feb'!AH28/'Feb'!AK28)</f>
        <v/>
      </c>
      <c r="N27" s="25" t="str">
        <f>IF(N('Mar'!AK28)=0,"",'Mar'!AH28/'Mar'!AK28)</f>
        <v/>
      </c>
      <c r="O27" s="21" t="str">
        <f>IF($B27="","",SUM('Apr'!AH28,'May'!AH28,'Jun'!AH28,'Jul'!AH28,'Aug'!AH28,'Sep'!AH28,'Oct'!AH28,'Nov'!AH28,'Dec'!AH28,'Jan'!AH28,'Feb'!AH28,'Mar'!AH28))</f>
        <v/>
      </c>
      <c r="P27" s="21" t="str">
        <f>IF($B27="","",SUM('Apr'!AK28,'May'!AK28,'Jun'!AK28,'Jul'!AK28,'Aug'!AK28,'Sep'!AK28,'Oct'!AK28,'Nov'!AK28,'Dec'!AK28,'Jan'!AK28,'Feb'!AK28,'Mar'!AK28))</f>
        <v/>
      </c>
      <c r="Q27" s="22" t="str">
        <f>IF(N(P27)=0,"",O27/P27)</f>
        <v/>
      </c>
      <c r="R27" s="21" t="str">
        <f>IF(OR(N(P27)=0,Q27&gt;=$R$2),"",ROUNDUP(ROUND(($R$2*P27-O27)/(1-$R$2),6),0))</f>
        <v/>
      </c>
    </row>
    <row r="28" spans="1:18" x14ac:dyDescent="0.25">
      <c r="A28" s="18" t="str">
        <f>IF(Setup!B42="","",Setup!A42)</f>
        <v/>
      </c>
      <c r="B28" s="19" t="str">
        <f>IF(Setup!B42="","",Setup!B42)</f>
        <v/>
      </c>
      <c r="C28" s="25" t="str">
        <f>IF(N('Apr'!AK29)=0,"",'Apr'!AH29/'Apr'!AK29)</f>
        <v/>
      </c>
      <c r="D28" s="25" t="str">
        <f>IF(N('May'!AK29)=0,"",'May'!AH29/'May'!AK29)</f>
        <v/>
      </c>
      <c r="E28" s="25" t="str">
        <f>IF(N('Jun'!AK29)=0,"",'Jun'!AH29/'Jun'!AK29)</f>
        <v/>
      </c>
      <c r="F28" s="25" t="str">
        <f>IF(N('Jul'!AK29)=0,"",'Jul'!AH29/'Jul'!AK29)</f>
        <v/>
      </c>
      <c r="G28" s="25" t="str">
        <f>IF(N('Aug'!AK29)=0,"",'Aug'!AH29/'Aug'!AK29)</f>
        <v/>
      </c>
      <c r="H28" s="25" t="str">
        <f>IF(N('Sep'!AK29)=0,"",'Sep'!AH29/'Sep'!AK29)</f>
        <v/>
      </c>
      <c r="I28" s="25" t="str">
        <f>IF(N('Oct'!AK29)=0,"",'Oct'!AH29/'Oct'!AK29)</f>
        <v/>
      </c>
      <c r="J28" s="25" t="str">
        <f>IF(N('Nov'!AK29)=0,"",'Nov'!AH29/'Nov'!AK29)</f>
        <v/>
      </c>
      <c r="K28" s="25" t="str">
        <f>IF(N('Dec'!AK29)=0,"",'Dec'!AH29/'Dec'!AK29)</f>
        <v/>
      </c>
      <c r="L28" s="25" t="str">
        <f>IF(N('Jan'!AK29)=0,"",'Jan'!AH29/'Jan'!AK29)</f>
        <v/>
      </c>
      <c r="M28" s="25" t="str">
        <f>IF(N('Feb'!AK29)=0,"",'Feb'!AH29/'Feb'!AK29)</f>
        <v/>
      </c>
      <c r="N28" s="25" t="str">
        <f>IF(N('Mar'!AK29)=0,"",'Mar'!AH29/'Mar'!AK29)</f>
        <v/>
      </c>
      <c r="O28" s="21" t="str">
        <f>IF($B28="","",SUM('Apr'!AH29,'May'!AH29,'Jun'!AH29,'Jul'!AH29,'Aug'!AH29,'Sep'!AH29,'Oct'!AH29,'Nov'!AH29,'Dec'!AH29,'Jan'!AH29,'Feb'!AH29,'Mar'!AH29))</f>
        <v/>
      </c>
      <c r="P28" s="21" t="str">
        <f>IF($B28="","",SUM('Apr'!AK29,'May'!AK29,'Jun'!AK29,'Jul'!AK29,'Aug'!AK29,'Sep'!AK29,'Oct'!AK29,'Nov'!AK29,'Dec'!AK29,'Jan'!AK29,'Feb'!AK29,'Mar'!AK29))</f>
        <v/>
      </c>
      <c r="Q28" s="22" t="str">
        <f>IF(N(P28)=0,"",O28/P28)</f>
        <v/>
      </c>
      <c r="R28" s="21" t="str">
        <f>IF(OR(N(P28)=0,Q28&gt;=$R$2),"",ROUNDUP(ROUND(($R$2*P28-O28)/(1-$R$2),6),0))</f>
        <v/>
      </c>
    </row>
    <row r="29" spans="1:18" x14ac:dyDescent="0.25">
      <c r="A29" s="18" t="str">
        <f>IF(Setup!B43="","",Setup!A43)</f>
        <v/>
      </c>
      <c r="B29" s="19" t="str">
        <f>IF(Setup!B43="","",Setup!B43)</f>
        <v/>
      </c>
      <c r="C29" s="25" t="str">
        <f>IF(N('Apr'!AK30)=0,"",'Apr'!AH30/'Apr'!AK30)</f>
        <v/>
      </c>
      <c r="D29" s="25" t="str">
        <f>IF(N('May'!AK30)=0,"",'May'!AH30/'May'!AK30)</f>
        <v/>
      </c>
      <c r="E29" s="25" t="str">
        <f>IF(N('Jun'!AK30)=0,"",'Jun'!AH30/'Jun'!AK30)</f>
        <v/>
      </c>
      <c r="F29" s="25" t="str">
        <f>IF(N('Jul'!AK30)=0,"",'Jul'!AH30/'Jul'!AK30)</f>
        <v/>
      </c>
      <c r="G29" s="25" t="str">
        <f>IF(N('Aug'!AK30)=0,"",'Aug'!AH30/'Aug'!AK30)</f>
        <v/>
      </c>
      <c r="H29" s="25" t="str">
        <f>IF(N('Sep'!AK30)=0,"",'Sep'!AH30/'Sep'!AK30)</f>
        <v/>
      </c>
      <c r="I29" s="25" t="str">
        <f>IF(N('Oct'!AK30)=0,"",'Oct'!AH30/'Oct'!AK30)</f>
        <v/>
      </c>
      <c r="J29" s="25" t="str">
        <f>IF(N('Nov'!AK30)=0,"",'Nov'!AH30/'Nov'!AK30)</f>
        <v/>
      </c>
      <c r="K29" s="25" t="str">
        <f>IF(N('Dec'!AK30)=0,"",'Dec'!AH30/'Dec'!AK30)</f>
        <v/>
      </c>
      <c r="L29" s="25" t="str">
        <f>IF(N('Jan'!AK30)=0,"",'Jan'!AH30/'Jan'!AK30)</f>
        <v/>
      </c>
      <c r="M29" s="25" t="str">
        <f>IF(N('Feb'!AK30)=0,"",'Feb'!AH30/'Feb'!AK30)</f>
        <v/>
      </c>
      <c r="N29" s="25" t="str">
        <f>IF(N('Mar'!AK30)=0,"",'Mar'!AH30/'Mar'!AK30)</f>
        <v/>
      </c>
      <c r="O29" s="21" t="str">
        <f>IF($B29="","",SUM('Apr'!AH30,'May'!AH30,'Jun'!AH30,'Jul'!AH30,'Aug'!AH30,'Sep'!AH30,'Oct'!AH30,'Nov'!AH30,'Dec'!AH30,'Jan'!AH30,'Feb'!AH30,'Mar'!AH30))</f>
        <v/>
      </c>
      <c r="P29" s="21" t="str">
        <f>IF($B29="","",SUM('Apr'!AK30,'May'!AK30,'Jun'!AK30,'Jul'!AK30,'Aug'!AK30,'Sep'!AK30,'Oct'!AK30,'Nov'!AK30,'Dec'!AK30,'Jan'!AK30,'Feb'!AK30,'Mar'!AK30))</f>
        <v/>
      </c>
      <c r="Q29" s="22" t="str">
        <f>IF(N(P29)=0,"",O29/P29)</f>
        <v/>
      </c>
      <c r="R29" s="21" t="str">
        <f>IF(OR(N(P29)=0,Q29&gt;=$R$2),"",ROUNDUP(ROUND(($R$2*P29-O29)/(1-$R$2),6),0))</f>
        <v/>
      </c>
    </row>
    <row r="30" spans="1:18" x14ac:dyDescent="0.25">
      <c r="A30" s="18" t="str">
        <f>IF(Setup!B44="","",Setup!A44)</f>
        <v/>
      </c>
      <c r="B30" s="19" t="str">
        <f>IF(Setup!B44="","",Setup!B44)</f>
        <v/>
      </c>
      <c r="C30" s="25" t="str">
        <f>IF(N('Apr'!AK31)=0,"",'Apr'!AH31/'Apr'!AK31)</f>
        <v/>
      </c>
      <c r="D30" s="25" t="str">
        <f>IF(N('May'!AK31)=0,"",'May'!AH31/'May'!AK31)</f>
        <v/>
      </c>
      <c r="E30" s="25" t="str">
        <f>IF(N('Jun'!AK31)=0,"",'Jun'!AH31/'Jun'!AK31)</f>
        <v/>
      </c>
      <c r="F30" s="25" t="str">
        <f>IF(N('Jul'!AK31)=0,"",'Jul'!AH31/'Jul'!AK31)</f>
        <v/>
      </c>
      <c r="G30" s="25" t="str">
        <f>IF(N('Aug'!AK31)=0,"",'Aug'!AH31/'Aug'!AK31)</f>
        <v/>
      </c>
      <c r="H30" s="25" t="str">
        <f>IF(N('Sep'!AK31)=0,"",'Sep'!AH31/'Sep'!AK31)</f>
        <v/>
      </c>
      <c r="I30" s="25" t="str">
        <f>IF(N('Oct'!AK31)=0,"",'Oct'!AH31/'Oct'!AK31)</f>
        <v/>
      </c>
      <c r="J30" s="25" t="str">
        <f>IF(N('Nov'!AK31)=0,"",'Nov'!AH31/'Nov'!AK31)</f>
        <v/>
      </c>
      <c r="K30" s="25" t="str">
        <f>IF(N('Dec'!AK31)=0,"",'Dec'!AH31/'Dec'!AK31)</f>
        <v/>
      </c>
      <c r="L30" s="25" t="str">
        <f>IF(N('Jan'!AK31)=0,"",'Jan'!AH31/'Jan'!AK31)</f>
        <v/>
      </c>
      <c r="M30" s="25" t="str">
        <f>IF(N('Feb'!AK31)=0,"",'Feb'!AH31/'Feb'!AK31)</f>
        <v/>
      </c>
      <c r="N30" s="25" t="str">
        <f>IF(N('Mar'!AK31)=0,"",'Mar'!AH31/'Mar'!AK31)</f>
        <v/>
      </c>
      <c r="O30" s="21" t="str">
        <f>IF($B30="","",SUM('Apr'!AH31,'May'!AH31,'Jun'!AH31,'Jul'!AH31,'Aug'!AH31,'Sep'!AH31,'Oct'!AH31,'Nov'!AH31,'Dec'!AH31,'Jan'!AH31,'Feb'!AH31,'Mar'!AH31))</f>
        <v/>
      </c>
      <c r="P30" s="21" t="str">
        <f>IF($B30="","",SUM('Apr'!AK31,'May'!AK31,'Jun'!AK31,'Jul'!AK31,'Aug'!AK31,'Sep'!AK31,'Oct'!AK31,'Nov'!AK31,'Dec'!AK31,'Jan'!AK31,'Feb'!AK31,'Mar'!AK31))</f>
        <v/>
      </c>
      <c r="Q30" s="22" t="str">
        <f>IF(N(P30)=0,"",O30/P30)</f>
        <v/>
      </c>
      <c r="R30" s="21" t="str">
        <f>IF(OR(N(P30)=0,Q30&gt;=$R$2),"",ROUNDUP(ROUND(($R$2*P30-O30)/(1-$R$2),6),0))</f>
        <v/>
      </c>
    </row>
    <row r="31" spans="1:18" x14ac:dyDescent="0.25">
      <c r="A31" s="18" t="str">
        <f>IF(Setup!B45="","",Setup!A45)</f>
        <v/>
      </c>
      <c r="B31" s="19" t="str">
        <f>IF(Setup!B45="","",Setup!B45)</f>
        <v/>
      </c>
      <c r="C31" s="25" t="str">
        <f>IF(N('Apr'!AK32)=0,"",'Apr'!AH32/'Apr'!AK32)</f>
        <v/>
      </c>
      <c r="D31" s="25" t="str">
        <f>IF(N('May'!AK32)=0,"",'May'!AH32/'May'!AK32)</f>
        <v/>
      </c>
      <c r="E31" s="25" t="str">
        <f>IF(N('Jun'!AK32)=0,"",'Jun'!AH32/'Jun'!AK32)</f>
        <v/>
      </c>
      <c r="F31" s="25" t="str">
        <f>IF(N('Jul'!AK32)=0,"",'Jul'!AH32/'Jul'!AK32)</f>
        <v/>
      </c>
      <c r="G31" s="25" t="str">
        <f>IF(N('Aug'!AK32)=0,"",'Aug'!AH32/'Aug'!AK32)</f>
        <v/>
      </c>
      <c r="H31" s="25" t="str">
        <f>IF(N('Sep'!AK32)=0,"",'Sep'!AH32/'Sep'!AK32)</f>
        <v/>
      </c>
      <c r="I31" s="25" t="str">
        <f>IF(N('Oct'!AK32)=0,"",'Oct'!AH32/'Oct'!AK32)</f>
        <v/>
      </c>
      <c r="J31" s="25" t="str">
        <f>IF(N('Nov'!AK32)=0,"",'Nov'!AH32/'Nov'!AK32)</f>
        <v/>
      </c>
      <c r="K31" s="25" t="str">
        <f>IF(N('Dec'!AK32)=0,"",'Dec'!AH32/'Dec'!AK32)</f>
        <v/>
      </c>
      <c r="L31" s="25" t="str">
        <f>IF(N('Jan'!AK32)=0,"",'Jan'!AH32/'Jan'!AK32)</f>
        <v/>
      </c>
      <c r="M31" s="25" t="str">
        <f>IF(N('Feb'!AK32)=0,"",'Feb'!AH32/'Feb'!AK32)</f>
        <v/>
      </c>
      <c r="N31" s="25" t="str">
        <f>IF(N('Mar'!AK32)=0,"",'Mar'!AH32/'Mar'!AK32)</f>
        <v/>
      </c>
      <c r="O31" s="21" t="str">
        <f>IF($B31="","",SUM('Apr'!AH32,'May'!AH32,'Jun'!AH32,'Jul'!AH32,'Aug'!AH32,'Sep'!AH32,'Oct'!AH32,'Nov'!AH32,'Dec'!AH32,'Jan'!AH32,'Feb'!AH32,'Mar'!AH32))</f>
        <v/>
      </c>
      <c r="P31" s="21" t="str">
        <f>IF($B31="","",SUM('Apr'!AK32,'May'!AK32,'Jun'!AK32,'Jul'!AK32,'Aug'!AK32,'Sep'!AK32,'Oct'!AK32,'Nov'!AK32,'Dec'!AK32,'Jan'!AK32,'Feb'!AK32,'Mar'!AK32))</f>
        <v/>
      </c>
      <c r="Q31" s="22" t="str">
        <f>IF(N(P31)=0,"",O31/P31)</f>
        <v/>
      </c>
      <c r="R31" s="21" t="str">
        <f>IF(OR(N(P31)=0,Q31&gt;=$R$2),"",ROUNDUP(ROUND(($R$2*P31-O31)/(1-$R$2),6),0))</f>
        <v/>
      </c>
    </row>
    <row r="32" spans="1:18" x14ac:dyDescent="0.25">
      <c r="A32" s="18" t="str">
        <f>IF(Setup!B46="","",Setup!A46)</f>
        <v/>
      </c>
      <c r="B32" s="19" t="str">
        <f>IF(Setup!B46="","",Setup!B46)</f>
        <v/>
      </c>
      <c r="C32" s="25" t="str">
        <f>IF(N('Apr'!AK33)=0,"",'Apr'!AH33/'Apr'!AK33)</f>
        <v/>
      </c>
      <c r="D32" s="25" t="str">
        <f>IF(N('May'!AK33)=0,"",'May'!AH33/'May'!AK33)</f>
        <v/>
      </c>
      <c r="E32" s="25" t="str">
        <f>IF(N('Jun'!AK33)=0,"",'Jun'!AH33/'Jun'!AK33)</f>
        <v/>
      </c>
      <c r="F32" s="25" t="str">
        <f>IF(N('Jul'!AK33)=0,"",'Jul'!AH33/'Jul'!AK33)</f>
        <v/>
      </c>
      <c r="G32" s="25" t="str">
        <f>IF(N('Aug'!AK33)=0,"",'Aug'!AH33/'Aug'!AK33)</f>
        <v/>
      </c>
      <c r="H32" s="25" t="str">
        <f>IF(N('Sep'!AK33)=0,"",'Sep'!AH33/'Sep'!AK33)</f>
        <v/>
      </c>
      <c r="I32" s="25" t="str">
        <f>IF(N('Oct'!AK33)=0,"",'Oct'!AH33/'Oct'!AK33)</f>
        <v/>
      </c>
      <c r="J32" s="25" t="str">
        <f>IF(N('Nov'!AK33)=0,"",'Nov'!AH33/'Nov'!AK33)</f>
        <v/>
      </c>
      <c r="K32" s="25" t="str">
        <f>IF(N('Dec'!AK33)=0,"",'Dec'!AH33/'Dec'!AK33)</f>
        <v/>
      </c>
      <c r="L32" s="25" t="str">
        <f>IF(N('Jan'!AK33)=0,"",'Jan'!AH33/'Jan'!AK33)</f>
        <v/>
      </c>
      <c r="M32" s="25" t="str">
        <f>IF(N('Feb'!AK33)=0,"",'Feb'!AH33/'Feb'!AK33)</f>
        <v/>
      </c>
      <c r="N32" s="25" t="str">
        <f>IF(N('Mar'!AK33)=0,"",'Mar'!AH33/'Mar'!AK33)</f>
        <v/>
      </c>
      <c r="O32" s="21" t="str">
        <f>IF($B32="","",SUM('Apr'!AH33,'May'!AH33,'Jun'!AH33,'Jul'!AH33,'Aug'!AH33,'Sep'!AH33,'Oct'!AH33,'Nov'!AH33,'Dec'!AH33,'Jan'!AH33,'Feb'!AH33,'Mar'!AH33))</f>
        <v/>
      </c>
      <c r="P32" s="21" t="str">
        <f>IF($B32="","",SUM('Apr'!AK33,'May'!AK33,'Jun'!AK33,'Jul'!AK33,'Aug'!AK33,'Sep'!AK33,'Oct'!AK33,'Nov'!AK33,'Dec'!AK33,'Jan'!AK33,'Feb'!AK33,'Mar'!AK33))</f>
        <v/>
      </c>
      <c r="Q32" s="22" t="str">
        <f>IF(N(P32)=0,"",O32/P32)</f>
        <v/>
      </c>
      <c r="R32" s="21" t="str">
        <f>IF(OR(N(P32)=0,Q32&gt;=$R$2),"",ROUNDUP(ROUND(($R$2*P32-O32)/(1-$R$2),6),0))</f>
        <v/>
      </c>
    </row>
    <row r="33" spans="1:18" x14ac:dyDescent="0.25">
      <c r="A33" s="18" t="str">
        <f>IF(Setup!B47="","",Setup!A47)</f>
        <v/>
      </c>
      <c r="B33" s="19" t="str">
        <f>IF(Setup!B47="","",Setup!B47)</f>
        <v/>
      </c>
      <c r="C33" s="25" t="str">
        <f>IF(N('Apr'!AK34)=0,"",'Apr'!AH34/'Apr'!AK34)</f>
        <v/>
      </c>
      <c r="D33" s="25" t="str">
        <f>IF(N('May'!AK34)=0,"",'May'!AH34/'May'!AK34)</f>
        <v/>
      </c>
      <c r="E33" s="25" t="str">
        <f>IF(N('Jun'!AK34)=0,"",'Jun'!AH34/'Jun'!AK34)</f>
        <v/>
      </c>
      <c r="F33" s="25" t="str">
        <f>IF(N('Jul'!AK34)=0,"",'Jul'!AH34/'Jul'!AK34)</f>
        <v/>
      </c>
      <c r="G33" s="25" t="str">
        <f>IF(N('Aug'!AK34)=0,"",'Aug'!AH34/'Aug'!AK34)</f>
        <v/>
      </c>
      <c r="H33" s="25" t="str">
        <f>IF(N('Sep'!AK34)=0,"",'Sep'!AH34/'Sep'!AK34)</f>
        <v/>
      </c>
      <c r="I33" s="25" t="str">
        <f>IF(N('Oct'!AK34)=0,"",'Oct'!AH34/'Oct'!AK34)</f>
        <v/>
      </c>
      <c r="J33" s="25" t="str">
        <f>IF(N('Nov'!AK34)=0,"",'Nov'!AH34/'Nov'!AK34)</f>
        <v/>
      </c>
      <c r="K33" s="25" t="str">
        <f>IF(N('Dec'!AK34)=0,"",'Dec'!AH34/'Dec'!AK34)</f>
        <v/>
      </c>
      <c r="L33" s="25" t="str">
        <f>IF(N('Jan'!AK34)=0,"",'Jan'!AH34/'Jan'!AK34)</f>
        <v/>
      </c>
      <c r="M33" s="25" t="str">
        <f>IF(N('Feb'!AK34)=0,"",'Feb'!AH34/'Feb'!AK34)</f>
        <v/>
      </c>
      <c r="N33" s="25" t="str">
        <f>IF(N('Mar'!AK34)=0,"",'Mar'!AH34/'Mar'!AK34)</f>
        <v/>
      </c>
      <c r="O33" s="21" t="str">
        <f>IF($B33="","",SUM('Apr'!AH34,'May'!AH34,'Jun'!AH34,'Jul'!AH34,'Aug'!AH34,'Sep'!AH34,'Oct'!AH34,'Nov'!AH34,'Dec'!AH34,'Jan'!AH34,'Feb'!AH34,'Mar'!AH34))</f>
        <v/>
      </c>
      <c r="P33" s="21" t="str">
        <f>IF($B33="","",SUM('Apr'!AK34,'May'!AK34,'Jun'!AK34,'Jul'!AK34,'Aug'!AK34,'Sep'!AK34,'Oct'!AK34,'Nov'!AK34,'Dec'!AK34,'Jan'!AK34,'Feb'!AK34,'Mar'!AK34))</f>
        <v/>
      </c>
      <c r="Q33" s="22" t="str">
        <f>IF(N(P33)=0,"",O33/P33)</f>
        <v/>
      </c>
      <c r="R33" s="21" t="str">
        <f>IF(OR(N(P33)=0,Q33&gt;=$R$2),"",ROUNDUP(ROUND(($R$2*P33-O33)/(1-$R$2),6),0))</f>
        <v/>
      </c>
    </row>
    <row r="34" spans="1:18" x14ac:dyDescent="0.25">
      <c r="A34" s="18" t="str">
        <f>IF(Setup!B48="","",Setup!A48)</f>
        <v/>
      </c>
      <c r="B34" s="19" t="str">
        <f>IF(Setup!B48="","",Setup!B48)</f>
        <v/>
      </c>
      <c r="C34" s="25" t="str">
        <f>IF(N('Apr'!AK35)=0,"",'Apr'!AH35/'Apr'!AK35)</f>
        <v/>
      </c>
      <c r="D34" s="25" t="str">
        <f>IF(N('May'!AK35)=0,"",'May'!AH35/'May'!AK35)</f>
        <v/>
      </c>
      <c r="E34" s="25" t="str">
        <f>IF(N('Jun'!AK35)=0,"",'Jun'!AH35/'Jun'!AK35)</f>
        <v/>
      </c>
      <c r="F34" s="25" t="str">
        <f>IF(N('Jul'!AK35)=0,"",'Jul'!AH35/'Jul'!AK35)</f>
        <v/>
      </c>
      <c r="G34" s="25" t="str">
        <f>IF(N('Aug'!AK35)=0,"",'Aug'!AH35/'Aug'!AK35)</f>
        <v/>
      </c>
      <c r="H34" s="25" t="str">
        <f>IF(N('Sep'!AK35)=0,"",'Sep'!AH35/'Sep'!AK35)</f>
        <v/>
      </c>
      <c r="I34" s="25" t="str">
        <f>IF(N('Oct'!AK35)=0,"",'Oct'!AH35/'Oct'!AK35)</f>
        <v/>
      </c>
      <c r="J34" s="25" t="str">
        <f>IF(N('Nov'!AK35)=0,"",'Nov'!AH35/'Nov'!AK35)</f>
        <v/>
      </c>
      <c r="K34" s="25" t="str">
        <f>IF(N('Dec'!AK35)=0,"",'Dec'!AH35/'Dec'!AK35)</f>
        <v/>
      </c>
      <c r="L34" s="25" t="str">
        <f>IF(N('Jan'!AK35)=0,"",'Jan'!AH35/'Jan'!AK35)</f>
        <v/>
      </c>
      <c r="M34" s="25" t="str">
        <f>IF(N('Feb'!AK35)=0,"",'Feb'!AH35/'Feb'!AK35)</f>
        <v/>
      </c>
      <c r="N34" s="25" t="str">
        <f>IF(N('Mar'!AK35)=0,"",'Mar'!AH35/'Mar'!AK35)</f>
        <v/>
      </c>
      <c r="O34" s="21" t="str">
        <f>IF($B34="","",SUM('Apr'!AH35,'May'!AH35,'Jun'!AH35,'Jul'!AH35,'Aug'!AH35,'Sep'!AH35,'Oct'!AH35,'Nov'!AH35,'Dec'!AH35,'Jan'!AH35,'Feb'!AH35,'Mar'!AH35))</f>
        <v/>
      </c>
      <c r="P34" s="21" t="str">
        <f>IF($B34="","",SUM('Apr'!AK35,'May'!AK35,'Jun'!AK35,'Jul'!AK35,'Aug'!AK35,'Sep'!AK35,'Oct'!AK35,'Nov'!AK35,'Dec'!AK35,'Jan'!AK35,'Feb'!AK35,'Mar'!AK35))</f>
        <v/>
      </c>
      <c r="Q34" s="22" t="str">
        <f>IF(N(P34)=0,"",O34/P34)</f>
        <v/>
      </c>
      <c r="R34" s="21" t="str">
        <f>IF(OR(N(P34)=0,Q34&gt;=$R$2),"",ROUNDUP(ROUND(($R$2*P34-O34)/(1-$R$2),6),0))</f>
        <v/>
      </c>
    </row>
    <row r="35" spans="1:18" x14ac:dyDescent="0.25">
      <c r="A35" s="18" t="str">
        <f>IF(Setup!B49="","",Setup!A49)</f>
        <v/>
      </c>
      <c r="B35" s="19" t="str">
        <f>IF(Setup!B49="","",Setup!B49)</f>
        <v/>
      </c>
      <c r="C35" s="25" t="str">
        <f>IF(N('Apr'!AK36)=0,"",'Apr'!AH36/'Apr'!AK36)</f>
        <v/>
      </c>
      <c r="D35" s="25" t="str">
        <f>IF(N('May'!AK36)=0,"",'May'!AH36/'May'!AK36)</f>
        <v/>
      </c>
      <c r="E35" s="25" t="str">
        <f>IF(N('Jun'!AK36)=0,"",'Jun'!AH36/'Jun'!AK36)</f>
        <v/>
      </c>
      <c r="F35" s="25" t="str">
        <f>IF(N('Jul'!AK36)=0,"",'Jul'!AH36/'Jul'!AK36)</f>
        <v/>
      </c>
      <c r="G35" s="25" t="str">
        <f>IF(N('Aug'!AK36)=0,"",'Aug'!AH36/'Aug'!AK36)</f>
        <v/>
      </c>
      <c r="H35" s="25" t="str">
        <f>IF(N('Sep'!AK36)=0,"",'Sep'!AH36/'Sep'!AK36)</f>
        <v/>
      </c>
      <c r="I35" s="25" t="str">
        <f>IF(N('Oct'!AK36)=0,"",'Oct'!AH36/'Oct'!AK36)</f>
        <v/>
      </c>
      <c r="J35" s="25" t="str">
        <f>IF(N('Nov'!AK36)=0,"",'Nov'!AH36/'Nov'!AK36)</f>
        <v/>
      </c>
      <c r="K35" s="25" t="str">
        <f>IF(N('Dec'!AK36)=0,"",'Dec'!AH36/'Dec'!AK36)</f>
        <v/>
      </c>
      <c r="L35" s="25" t="str">
        <f>IF(N('Jan'!AK36)=0,"",'Jan'!AH36/'Jan'!AK36)</f>
        <v/>
      </c>
      <c r="M35" s="25" t="str">
        <f>IF(N('Feb'!AK36)=0,"",'Feb'!AH36/'Feb'!AK36)</f>
        <v/>
      </c>
      <c r="N35" s="25" t="str">
        <f>IF(N('Mar'!AK36)=0,"",'Mar'!AH36/'Mar'!AK36)</f>
        <v/>
      </c>
      <c r="O35" s="21" t="str">
        <f>IF($B35="","",SUM('Apr'!AH36,'May'!AH36,'Jun'!AH36,'Jul'!AH36,'Aug'!AH36,'Sep'!AH36,'Oct'!AH36,'Nov'!AH36,'Dec'!AH36,'Jan'!AH36,'Feb'!AH36,'Mar'!AH36))</f>
        <v/>
      </c>
      <c r="P35" s="21" t="str">
        <f>IF($B35="","",SUM('Apr'!AK36,'May'!AK36,'Jun'!AK36,'Jul'!AK36,'Aug'!AK36,'Sep'!AK36,'Oct'!AK36,'Nov'!AK36,'Dec'!AK36,'Jan'!AK36,'Feb'!AK36,'Mar'!AK36))</f>
        <v/>
      </c>
      <c r="Q35" s="22" t="str">
        <f>IF(N(P35)=0,"",O35/P35)</f>
        <v/>
      </c>
      <c r="R35" s="21" t="str">
        <f>IF(OR(N(P35)=0,Q35&gt;=$R$2),"",ROUNDUP(ROUND(($R$2*P35-O35)/(1-$R$2),6),0))</f>
        <v/>
      </c>
    </row>
    <row r="36" spans="1:18" x14ac:dyDescent="0.25">
      <c r="A36" s="18" t="str">
        <f>IF(Setup!B50="","",Setup!A50)</f>
        <v/>
      </c>
      <c r="B36" s="19" t="str">
        <f>IF(Setup!B50="","",Setup!B50)</f>
        <v/>
      </c>
      <c r="C36" s="25" t="str">
        <f>IF(N('Apr'!AK37)=0,"",'Apr'!AH37/'Apr'!AK37)</f>
        <v/>
      </c>
      <c r="D36" s="25" t="str">
        <f>IF(N('May'!AK37)=0,"",'May'!AH37/'May'!AK37)</f>
        <v/>
      </c>
      <c r="E36" s="25" t="str">
        <f>IF(N('Jun'!AK37)=0,"",'Jun'!AH37/'Jun'!AK37)</f>
        <v/>
      </c>
      <c r="F36" s="25" t="str">
        <f>IF(N('Jul'!AK37)=0,"",'Jul'!AH37/'Jul'!AK37)</f>
        <v/>
      </c>
      <c r="G36" s="25" t="str">
        <f>IF(N('Aug'!AK37)=0,"",'Aug'!AH37/'Aug'!AK37)</f>
        <v/>
      </c>
      <c r="H36" s="25" t="str">
        <f>IF(N('Sep'!AK37)=0,"",'Sep'!AH37/'Sep'!AK37)</f>
        <v/>
      </c>
      <c r="I36" s="25" t="str">
        <f>IF(N('Oct'!AK37)=0,"",'Oct'!AH37/'Oct'!AK37)</f>
        <v/>
      </c>
      <c r="J36" s="25" t="str">
        <f>IF(N('Nov'!AK37)=0,"",'Nov'!AH37/'Nov'!AK37)</f>
        <v/>
      </c>
      <c r="K36" s="25" t="str">
        <f>IF(N('Dec'!AK37)=0,"",'Dec'!AH37/'Dec'!AK37)</f>
        <v/>
      </c>
      <c r="L36" s="25" t="str">
        <f>IF(N('Jan'!AK37)=0,"",'Jan'!AH37/'Jan'!AK37)</f>
        <v/>
      </c>
      <c r="M36" s="25" t="str">
        <f>IF(N('Feb'!AK37)=0,"",'Feb'!AH37/'Feb'!AK37)</f>
        <v/>
      </c>
      <c r="N36" s="25" t="str">
        <f>IF(N('Mar'!AK37)=0,"",'Mar'!AH37/'Mar'!AK37)</f>
        <v/>
      </c>
      <c r="O36" s="21" t="str">
        <f>IF($B36="","",SUM('Apr'!AH37,'May'!AH37,'Jun'!AH37,'Jul'!AH37,'Aug'!AH37,'Sep'!AH37,'Oct'!AH37,'Nov'!AH37,'Dec'!AH37,'Jan'!AH37,'Feb'!AH37,'Mar'!AH37))</f>
        <v/>
      </c>
      <c r="P36" s="21" t="str">
        <f>IF($B36="","",SUM('Apr'!AK37,'May'!AK37,'Jun'!AK37,'Jul'!AK37,'Aug'!AK37,'Sep'!AK37,'Oct'!AK37,'Nov'!AK37,'Dec'!AK37,'Jan'!AK37,'Feb'!AK37,'Mar'!AK37))</f>
        <v/>
      </c>
      <c r="Q36" s="22" t="str">
        <f>IF(N(P36)=0,"",O36/P36)</f>
        <v/>
      </c>
      <c r="R36" s="21" t="str">
        <f>IF(OR(N(P36)=0,Q36&gt;=$R$2),"",ROUNDUP(ROUND(($R$2*P36-O36)/(1-$R$2),6),0))</f>
        <v/>
      </c>
    </row>
    <row r="37" spans="1:18" x14ac:dyDescent="0.25">
      <c r="A37" s="18" t="str">
        <f>IF(Setup!B51="","",Setup!A51)</f>
        <v/>
      </c>
      <c r="B37" s="19" t="str">
        <f>IF(Setup!B51="","",Setup!B51)</f>
        <v/>
      </c>
      <c r="C37" s="25" t="str">
        <f>IF(N('Apr'!AK38)=0,"",'Apr'!AH38/'Apr'!AK38)</f>
        <v/>
      </c>
      <c r="D37" s="25" t="str">
        <f>IF(N('May'!AK38)=0,"",'May'!AH38/'May'!AK38)</f>
        <v/>
      </c>
      <c r="E37" s="25" t="str">
        <f>IF(N('Jun'!AK38)=0,"",'Jun'!AH38/'Jun'!AK38)</f>
        <v/>
      </c>
      <c r="F37" s="25" t="str">
        <f>IF(N('Jul'!AK38)=0,"",'Jul'!AH38/'Jul'!AK38)</f>
        <v/>
      </c>
      <c r="G37" s="25" t="str">
        <f>IF(N('Aug'!AK38)=0,"",'Aug'!AH38/'Aug'!AK38)</f>
        <v/>
      </c>
      <c r="H37" s="25" t="str">
        <f>IF(N('Sep'!AK38)=0,"",'Sep'!AH38/'Sep'!AK38)</f>
        <v/>
      </c>
      <c r="I37" s="25" t="str">
        <f>IF(N('Oct'!AK38)=0,"",'Oct'!AH38/'Oct'!AK38)</f>
        <v/>
      </c>
      <c r="J37" s="25" t="str">
        <f>IF(N('Nov'!AK38)=0,"",'Nov'!AH38/'Nov'!AK38)</f>
        <v/>
      </c>
      <c r="K37" s="25" t="str">
        <f>IF(N('Dec'!AK38)=0,"",'Dec'!AH38/'Dec'!AK38)</f>
        <v/>
      </c>
      <c r="L37" s="25" t="str">
        <f>IF(N('Jan'!AK38)=0,"",'Jan'!AH38/'Jan'!AK38)</f>
        <v/>
      </c>
      <c r="M37" s="25" t="str">
        <f>IF(N('Feb'!AK38)=0,"",'Feb'!AH38/'Feb'!AK38)</f>
        <v/>
      </c>
      <c r="N37" s="25" t="str">
        <f>IF(N('Mar'!AK38)=0,"",'Mar'!AH38/'Mar'!AK38)</f>
        <v/>
      </c>
      <c r="O37" s="21" t="str">
        <f>IF($B37="","",SUM('Apr'!AH38,'May'!AH38,'Jun'!AH38,'Jul'!AH38,'Aug'!AH38,'Sep'!AH38,'Oct'!AH38,'Nov'!AH38,'Dec'!AH38,'Jan'!AH38,'Feb'!AH38,'Mar'!AH38))</f>
        <v/>
      </c>
      <c r="P37" s="21" t="str">
        <f>IF($B37="","",SUM('Apr'!AK38,'May'!AK38,'Jun'!AK38,'Jul'!AK38,'Aug'!AK38,'Sep'!AK38,'Oct'!AK38,'Nov'!AK38,'Dec'!AK38,'Jan'!AK38,'Feb'!AK38,'Mar'!AK38))</f>
        <v/>
      </c>
      <c r="Q37" s="22" t="str">
        <f>IF(N(P37)=0,"",O37/P37)</f>
        <v/>
      </c>
      <c r="R37" s="21" t="str">
        <f>IF(OR(N(P37)=0,Q37&gt;=$R$2),"",ROUNDUP(ROUND(($R$2*P37-O37)/(1-$R$2),6),0))</f>
        <v/>
      </c>
    </row>
    <row r="38" spans="1:18" x14ac:dyDescent="0.25">
      <c r="A38" s="18" t="str">
        <f>IF(Setup!B52="","",Setup!A52)</f>
        <v/>
      </c>
      <c r="B38" s="19" t="str">
        <f>IF(Setup!B52="","",Setup!B52)</f>
        <v/>
      </c>
      <c r="C38" s="25" t="str">
        <f>IF(N('Apr'!AK39)=0,"",'Apr'!AH39/'Apr'!AK39)</f>
        <v/>
      </c>
      <c r="D38" s="25" t="str">
        <f>IF(N('May'!AK39)=0,"",'May'!AH39/'May'!AK39)</f>
        <v/>
      </c>
      <c r="E38" s="25" t="str">
        <f>IF(N('Jun'!AK39)=0,"",'Jun'!AH39/'Jun'!AK39)</f>
        <v/>
      </c>
      <c r="F38" s="25" t="str">
        <f>IF(N('Jul'!AK39)=0,"",'Jul'!AH39/'Jul'!AK39)</f>
        <v/>
      </c>
      <c r="G38" s="25" t="str">
        <f>IF(N('Aug'!AK39)=0,"",'Aug'!AH39/'Aug'!AK39)</f>
        <v/>
      </c>
      <c r="H38" s="25" t="str">
        <f>IF(N('Sep'!AK39)=0,"",'Sep'!AH39/'Sep'!AK39)</f>
        <v/>
      </c>
      <c r="I38" s="25" t="str">
        <f>IF(N('Oct'!AK39)=0,"",'Oct'!AH39/'Oct'!AK39)</f>
        <v/>
      </c>
      <c r="J38" s="25" t="str">
        <f>IF(N('Nov'!AK39)=0,"",'Nov'!AH39/'Nov'!AK39)</f>
        <v/>
      </c>
      <c r="K38" s="25" t="str">
        <f>IF(N('Dec'!AK39)=0,"",'Dec'!AH39/'Dec'!AK39)</f>
        <v/>
      </c>
      <c r="L38" s="25" t="str">
        <f>IF(N('Jan'!AK39)=0,"",'Jan'!AH39/'Jan'!AK39)</f>
        <v/>
      </c>
      <c r="M38" s="25" t="str">
        <f>IF(N('Feb'!AK39)=0,"",'Feb'!AH39/'Feb'!AK39)</f>
        <v/>
      </c>
      <c r="N38" s="25" t="str">
        <f>IF(N('Mar'!AK39)=0,"",'Mar'!AH39/'Mar'!AK39)</f>
        <v/>
      </c>
      <c r="O38" s="21" t="str">
        <f>IF($B38="","",SUM('Apr'!AH39,'May'!AH39,'Jun'!AH39,'Jul'!AH39,'Aug'!AH39,'Sep'!AH39,'Oct'!AH39,'Nov'!AH39,'Dec'!AH39,'Jan'!AH39,'Feb'!AH39,'Mar'!AH39))</f>
        <v/>
      </c>
      <c r="P38" s="21" t="str">
        <f>IF($B38="","",SUM('Apr'!AK39,'May'!AK39,'Jun'!AK39,'Jul'!AK39,'Aug'!AK39,'Sep'!AK39,'Oct'!AK39,'Nov'!AK39,'Dec'!AK39,'Jan'!AK39,'Feb'!AK39,'Mar'!AK39))</f>
        <v/>
      </c>
      <c r="Q38" s="22" t="str">
        <f>IF(N(P38)=0,"",O38/P38)</f>
        <v/>
      </c>
      <c r="R38" s="21" t="str">
        <f>IF(OR(N(P38)=0,Q38&gt;=$R$2),"",ROUNDUP(ROUND(($R$2*P38-O38)/(1-$R$2),6),0))</f>
        <v/>
      </c>
    </row>
    <row r="39" spans="1:18" x14ac:dyDescent="0.25">
      <c r="A39" s="18" t="str">
        <f>IF(Setup!B53="","",Setup!A53)</f>
        <v/>
      </c>
      <c r="B39" s="19" t="str">
        <f>IF(Setup!B53="","",Setup!B53)</f>
        <v/>
      </c>
      <c r="C39" s="25" t="str">
        <f>IF(N('Apr'!AK40)=0,"",'Apr'!AH40/'Apr'!AK40)</f>
        <v/>
      </c>
      <c r="D39" s="25" t="str">
        <f>IF(N('May'!AK40)=0,"",'May'!AH40/'May'!AK40)</f>
        <v/>
      </c>
      <c r="E39" s="25" t="str">
        <f>IF(N('Jun'!AK40)=0,"",'Jun'!AH40/'Jun'!AK40)</f>
        <v/>
      </c>
      <c r="F39" s="25" t="str">
        <f>IF(N('Jul'!AK40)=0,"",'Jul'!AH40/'Jul'!AK40)</f>
        <v/>
      </c>
      <c r="G39" s="25" t="str">
        <f>IF(N('Aug'!AK40)=0,"",'Aug'!AH40/'Aug'!AK40)</f>
        <v/>
      </c>
      <c r="H39" s="25" t="str">
        <f>IF(N('Sep'!AK40)=0,"",'Sep'!AH40/'Sep'!AK40)</f>
        <v/>
      </c>
      <c r="I39" s="25" t="str">
        <f>IF(N('Oct'!AK40)=0,"",'Oct'!AH40/'Oct'!AK40)</f>
        <v/>
      </c>
      <c r="J39" s="25" t="str">
        <f>IF(N('Nov'!AK40)=0,"",'Nov'!AH40/'Nov'!AK40)</f>
        <v/>
      </c>
      <c r="K39" s="25" t="str">
        <f>IF(N('Dec'!AK40)=0,"",'Dec'!AH40/'Dec'!AK40)</f>
        <v/>
      </c>
      <c r="L39" s="25" t="str">
        <f>IF(N('Jan'!AK40)=0,"",'Jan'!AH40/'Jan'!AK40)</f>
        <v/>
      </c>
      <c r="M39" s="25" t="str">
        <f>IF(N('Feb'!AK40)=0,"",'Feb'!AH40/'Feb'!AK40)</f>
        <v/>
      </c>
      <c r="N39" s="25" t="str">
        <f>IF(N('Mar'!AK40)=0,"",'Mar'!AH40/'Mar'!AK40)</f>
        <v/>
      </c>
      <c r="O39" s="21" t="str">
        <f>IF($B39="","",SUM('Apr'!AH40,'May'!AH40,'Jun'!AH40,'Jul'!AH40,'Aug'!AH40,'Sep'!AH40,'Oct'!AH40,'Nov'!AH40,'Dec'!AH40,'Jan'!AH40,'Feb'!AH40,'Mar'!AH40))</f>
        <v/>
      </c>
      <c r="P39" s="21" t="str">
        <f>IF($B39="","",SUM('Apr'!AK40,'May'!AK40,'Jun'!AK40,'Jul'!AK40,'Aug'!AK40,'Sep'!AK40,'Oct'!AK40,'Nov'!AK40,'Dec'!AK40,'Jan'!AK40,'Feb'!AK40,'Mar'!AK40))</f>
        <v/>
      </c>
      <c r="Q39" s="22" t="str">
        <f>IF(N(P39)=0,"",O39/P39)</f>
        <v/>
      </c>
      <c r="R39" s="21" t="str">
        <f>IF(OR(N(P39)=0,Q39&gt;=$R$2),"",ROUNDUP(ROUND(($R$2*P39-O39)/(1-$R$2),6),0))</f>
        <v/>
      </c>
    </row>
    <row r="40" spans="1:18" x14ac:dyDescent="0.25">
      <c r="A40" s="18" t="str">
        <f>IF(Setup!B54="","",Setup!A54)</f>
        <v/>
      </c>
      <c r="B40" s="19" t="str">
        <f>IF(Setup!B54="","",Setup!B54)</f>
        <v/>
      </c>
      <c r="C40" s="25" t="str">
        <f>IF(N('Apr'!AK41)=0,"",'Apr'!AH41/'Apr'!AK41)</f>
        <v/>
      </c>
      <c r="D40" s="25" t="str">
        <f>IF(N('May'!AK41)=0,"",'May'!AH41/'May'!AK41)</f>
        <v/>
      </c>
      <c r="E40" s="25" t="str">
        <f>IF(N('Jun'!AK41)=0,"",'Jun'!AH41/'Jun'!AK41)</f>
        <v/>
      </c>
      <c r="F40" s="25" t="str">
        <f>IF(N('Jul'!AK41)=0,"",'Jul'!AH41/'Jul'!AK41)</f>
        <v/>
      </c>
      <c r="G40" s="25" t="str">
        <f>IF(N('Aug'!AK41)=0,"",'Aug'!AH41/'Aug'!AK41)</f>
        <v/>
      </c>
      <c r="H40" s="25" t="str">
        <f>IF(N('Sep'!AK41)=0,"",'Sep'!AH41/'Sep'!AK41)</f>
        <v/>
      </c>
      <c r="I40" s="25" t="str">
        <f>IF(N('Oct'!AK41)=0,"",'Oct'!AH41/'Oct'!AK41)</f>
        <v/>
      </c>
      <c r="J40" s="25" t="str">
        <f>IF(N('Nov'!AK41)=0,"",'Nov'!AH41/'Nov'!AK41)</f>
        <v/>
      </c>
      <c r="K40" s="25" t="str">
        <f>IF(N('Dec'!AK41)=0,"",'Dec'!AH41/'Dec'!AK41)</f>
        <v/>
      </c>
      <c r="L40" s="25" t="str">
        <f>IF(N('Jan'!AK41)=0,"",'Jan'!AH41/'Jan'!AK41)</f>
        <v/>
      </c>
      <c r="M40" s="25" t="str">
        <f>IF(N('Feb'!AK41)=0,"",'Feb'!AH41/'Feb'!AK41)</f>
        <v/>
      </c>
      <c r="N40" s="25" t="str">
        <f>IF(N('Mar'!AK41)=0,"",'Mar'!AH41/'Mar'!AK41)</f>
        <v/>
      </c>
      <c r="O40" s="21" t="str">
        <f>IF($B40="","",SUM('Apr'!AH41,'May'!AH41,'Jun'!AH41,'Jul'!AH41,'Aug'!AH41,'Sep'!AH41,'Oct'!AH41,'Nov'!AH41,'Dec'!AH41,'Jan'!AH41,'Feb'!AH41,'Mar'!AH41))</f>
        <v/>
      </c>
      <c r="P40" s="21" t="str">
        <f>IF($B40="","",SUM('Apr'!AK41,'May'!AK41,'Jun'!AK41,'Jul'!AK41,'Aug'!AK41,'Sep'!AK41,'Oct'!AK41,'Nov'!AK41,'Dec'!AK41,'Jan'!AK41,'Feb'!AK41,'Mar'!AK41))</f>
        <v/>
      </c>
      <c r="Q40" s="22" t="str">
        <f>IF(N(P40)=0,"",O40/P40)</f>
        <v/>
      </c>
      <c r="R40" s="21" t="str">
        <f>IF(OR(N(P40)=0,Q40&gt;=$R$2),"",ROUNDUP(ROUND(($R$2*P40-O40)/(1-$R$2),6),0))</f>
        <v/>
      </c>
    </row>
    <row r="41" spans="1:18" x14ac:dyDescent="0.25">
      <c r="A41" s="18" t="str">
        <f>IF(Setup!B55="","",Setup!A55)</f>
        <v/>
      </c>
      <c r="B41" s="19" t="str">
        <f>IF(Setup!B55="","",Setup!B55)</f>
        <v/>
      </c>
      <c r="C41" s="25" t="str">
        <f>IF(N('Apr'!AK42)=0,"",'Apr'!AH42/'Apr'!AK42)</f>
        <v/>
      </c>
      <c r="D41" s="25" t="str">
        <f>IF(N('May'!AK42)=0,"",'May'!AH42/'May'!AK42)</f>
        <v/>
      </c>
      <c r="E41" s="25" t="str">
        <f>IF(N('Jun'!AK42)=0,"",'Jun'!AH42/'Jun'!AK42)</f>
        <v/>
      </c>
      <c r="F41" s="25" t="str">
        <f>IF(N('Jul'!AK42)=0,"",'Jul'!AH42/'Jul'!AK42)</f>
        <v/>
      </c>
      <c r="G41" s="25" t="str">
        <f>IF(N('Aug'!AK42)=0,"",'Aug'!AH42/'Aug'!AK42)</f>
        <v/>
      </c>
      <c r="H41" s="25" t="str">
        <f>IF(N('Sep'!AK42)=0,"",'Sep'!AH42/'Sep'!AK42)</f>
        <v/>
      </c>
      <c r="I41" s="25" t="str">
        <f>IF(N('Oct'!AK42)=0,"",'Oct'!AH42/'Oct'!AK42)</f>
        <v/>
      </c>
      <c r="J41" s="25" t="str">
        <f>IF(N('Nov'!AK42)=0,"",'Nov'!AH42/'Nov'!AK42)</f>
        <v/>
      </c>
      <c r="K41" s="25" t="str">
        <f>IF(N('Dec'!AK42)=0,"",'Dec'!AH42/'Dec'!AK42)</f>
        <v/>
      </c>
      <c r="L41" s="25" t="str">
        <f>IF(N('Jan'!AK42)=0,"",'Jan'!AH42/'Jan'!AK42)</f>
        <v/>
      </c>
      <c r="M41" s="25" t="str">
        <f>IF(N('Feb'!AK42)=0,"",'Feb'!AH42/'Feb'!AK42)</f>
        <v/>
      </c>
      <c r="N41" s="25" t="str">
        <f>IF(N('Mar'!AK42)=0,"",'Mar'!AH42/'Mar'!AK42)</f>
        <v/>
      </c>
      <c r="O41" s="21" t="str">
        <f>IF($B41="","",SUM('Apr'!AH42,'May'!AH42,'Jun'!AH42,'Jul'!AH42,'Aug'!AH42,'Sep'!AH42,'Oct'!AH42,'Nov'!AH42,'Dec'!AH42,'Jan'!AH42,'Feb'!AH42,'Mar'!AH42))</f>
        <v/>
      </c>
      <c r="P41" s="21" t="str">
        <f>IF($B41="","",SUM('Apr'!AK42,'May'!AK42,'Jun'!AK42,'Jul'!AK42,'Aug'!AK42,'Sep'!AK42,'Oct'!AK42,'Nov'!AK42,'Dec'!AK42,'Jan'!AK42,'Feb'!AK42,'Mar'!AK42))</f>
        <v/>
      </c>
      <c r="Q41" s="22" t="str">
        <f>IF(N(P41)=0,"",O41/P41)</f>
        <v/>
      </c>
      <c r="R41" s="21" t="str">
        <f>IF(OR(N(P41)=0,Q41&gt;=$R$2),"",ROUNDUP(ROUND(($R$2*P41-O41)/(1-$R$2),6),0))</f>
        <v/>
      </c>
    </row>
    <row r="42" spans="1:18" x14ac:dyDescent="0.25">
      <c r="A42" s="18" t="str">
        <f>IF(Setup!B56="","",Setup!A56)</f>
        <v/>
      </c>
      <c r="B42" s="19" t="str">
        <f>IF(Setup!B56="","",Setup!B56)</f>
        <v/>
      </c>
      <c r="C42" s="25" t="str">
        <f>IF(N('Apr'!AK43)=0,"",'Apr'!AH43/'Apr'!AK43)</f>
        <v/>
      </c>
      <c r="D42" s="25" t="str">
        <f>IF(N('May'!AK43)=0,"",'May'!AH43/'May'!AK43)</f>
        <v/>
      </c>
      <c r="E42" s="25" t="str">
        <f>IF(N('Jun'!AK43)=0,"",'Jun'!AH43/'Jun'!AK43)</f>
        <v/>
      </c>
      <c r="F42" s="25" t="str">
        <f>IF(N('Jul'!AK43)=0,"",'Jul'!AH43/'Jul'!AK43)</f>
        <v/>
      </c>
      <c r="G42" s="25" t="str">
        <f>IF(N('Aug'!AK43)=0,"",'Aug'!AH43/'Aug'!AK43)</f>
        <v/>
      </c>
      <c r="H42" s="25" t="str">
        <f>IF(N('Sep'!AK43)=0,"",'Sep'!AH43/'Sep'!AK43)</f>
        <v/>
      </c>
      <c r="I42" s="25" t="str">
        <f>IF(N('Oct'!AK43)=0,"",'Oct'!AH43/'Oct'!AK43)</f>
        <v/>
      </c>
      <c r="J42" s="25" t="str">
        <f>IF(N('Nov'!AK43)=0,"",'Nov'!AH43/'Nov'!AK43)</f>
        <v/>
      </c>
      <c r="K42" s="25" t="str">
        <f>IF(N('Dec'!AK43)=0,"",'Dec'!AH43/'Dec'!AK43)</f>
        <v/>
      </c>
      <c r="L42" s="25" t="str">
        <f>IF(N('Jan'!AK43)=0,"",'Jan'!AH43/'Jan'!AK43)</f>
        <v/>
      </c>
      <c r="M42" s="25" t="str">
        <f>IF(N('Feb'!AK43)=0,"",'Feb'!AH43/'Feb'!AK43)</f>
        <v/>
      </c>
      <c r="N42" s="25" t="str">
        <f>IF(N('Mar'!AK43)=0,"",'Mar'!AH43/'Mar'!AK43)</f>
        <v/>
      </c>
      <c r="O42" s="21" t="str">
        <f>IF($B42="","",SUM('Apr'!AH43,'May'!AH43,'Jun'!AH43,'Jul'!AH43,'Aug'!AH43,'Sep'!AH43,'Oct'!AH43,'Nov'!AH43,'Dec'!AH43,'Jan'!AH43,'Feb'!AH43,'Mar'!AH43))</f>
        <v/>
      </c>
      <c r="P42" s="21" t="str">
        <f>IF($B42="","",SUM('Apr'!AK43,'May'!AK43,'Jun'!AK43,'Jul'!AK43,'Aug'!AK43,'Sep'!AK43,'Oct'!AK43,'Nov'!AK43,'Dec'!AK43,'Jan'!AK43,'Feb'!AK43,'Mar'!AK43))</f>
        <v/>
      </c>
      <c r="Q42" s="22" t="str">
        <f>IF(N(P42)=0,"",O42/P42)</f>
        <v/>
      </c>
      <c r="R42" s="21" t="str">
        <f>IF(OR(N(P42)=0,Q42&gt;=$R$2),"",ROUNDUP(ROUND(($R$2*P42-O42)/(1-$R$2),6),0))</f>
        <v/>
      </c>
    </row>
    <row r="43" spans="1:18" x14ac:dyDescent="0.25">
      <c r="A43" s="18" t="str">
        <f>IF(Setup!B57="","",Setup!A57)</f>
        <v/>
      </c>
      <c r="B43" s="19" t="str">
        <f>IF(Setup!B57="","",Setup!B57)</f>
        <v/>
      </c>
      <c r="C43" s="25" t="str">
        <f>IF(N('Apr'!AK44)=0,"",'Apr'!AH44/'Apr'!AK44)</f>
        <v/>
      </c>
      <c r="D43" s="25" t="str">
        <f>IF(N('May'!AK44)=0,"",'May'!AH44/'May'!AK44)</f>
        <v/>
      </c>
      <c r="E43" s="25" t="str">
        <f>IF(N('Jun'!AK44)=0,"",'Jun'!AH44/'Jun'!AK44)</f>
        <v/>
      </c>
      <c r="F43" s="25" t="str">
        <f>IF(N('Jul'!AK44)=0,"",'Jul'!AH44/'Jul'!AK44)</f>
        <v/>
      </c>
      <c r="G43" s="25" t="str">
        <f>IF(N('Aug'!AK44)=0,"",'Aug'!AH44/'Aug'!AK44)</f>
        <v/>
      </c>
      <c r="H43" s="25" t="str">
        <f>IF(N('Sep'!AK44)=0,"",'Sep'!AH44/'Sep'!AK44)</f>
        <v/>
      </c>
      <c r="I43" s="25" t="str">
        <f>IF(N('Oct'!AK44)=0,"",'Oct'!AH44/'Oct'!AK44)</f>
        <v/>
      </c>
      <c r="J43" s="25" t="str">
        <f>IF(N('Nov'!AK44)=0,"",'Nov'!AH44/'Nov'!AK44)</f>
        <v/>
      </c>
      <c r="K43" s="25" t="str">
        <f>IF(N('Dec'!AK44)=0,"",'Dec'!AH44/'Dec'!AK44)</f>
        <v/>
      </c>
      <c r="L43" s="25" t="str">
        <f>IF(N('Jan'!AK44)=0,"",'Jan'!AH44/'Jan'!AK44)</f>
        <v/>
      </c>
      <c r="M43" s="25" t="str">
        <f>IF(N('Feb'!AK44)=0,"",'Feb'!AH44/'Feb'!AK44)</f>
        <v/>
      </c>
      <c r="N43" s="25" t="str">
        <f>IF(N('Mar'!AK44)=0,"",'Mar'!AH44/'Mar'!AK44)</f>
        <v/>
      </c>
      <c r="O43" s="21" t="str">
        <f>IF($B43="","",SUM('Apr'!AH44,'May'!AH44,'Jun'!AH44,'Jul'!AH44,'Aug'!AH44,'Sep'!AH44,'Oct'!AH44,'Nov'!AH44,'Dec'!AH44,'Jan'!AH44,'Feb'!AH44,'Mar'!AH44))</f>
        <v/>
      </c>
      <c r="P43" s="21" t="str">
        <f>IF($B43="","",SUM('Apr'!AK44,'May'!AK44,'Jun'!AK44,'Jul'!AK44,'Aug'!AK44,'Sep'!AK44,'Oct'!AK44,'Nov'!AK44,'Dec'!AK44,'Jan'!AK44,'Feb'!AK44,'Mar'!AK44))</f>
        <v/>
      </c>
      <c r="Q43" s="22" t="str">
        <f>IF(N(P43)=0,"",O43/P43)</f>
        <v/>
      </c>
      <c r="R43" s="21" t="str">
        <f>IF(OR(N(P43)=0,Q43&gt;=$R$2),"",ROUNDUP(ROUND(($R$2*P43-O43)/(1-$R$2),6),0))</f>
        <v/>
      </c>
    </row>
    <row r="44" spans="1:18" x14ac:dyDescent="0.25">
      <c r="A44" s="18" t="str">
        <f>IF(Setup!B58="","",Setup!A58)</f>
        <v/>
      </c>
      <c r="B44" s="19" t="str">
        <f>IF(Setup!B58="","",Setup!B58)</f>
        <v/>
      </c>
      <c r="C44" s="25" t="str">
        <f>IF(N('Apr'!AK45)=0,"",'Apr'!AH45/'Apr'!AK45)</f>
        <v/>
      </c>
      <c r="D44" s="25" t="str">
        <f>IF(N('May'!AK45)=0,"",'May'!AH45/'May'!AK45)</f>
        <v/>
      </c>
      <c r="E44" s="25" t="str">
        <f>IF(N('Jun'!AK45)=0,"",'Jun'!AH45/'Jun'!AK45)</f>
        <v/>
      </c>
      <c r="F44" s="25" t="str">
        <f>IF(N('Jul'!AK45)=0,"",'Jul'!AH45/'Jul'!AK45)</f>
        <v/>
      </c>
      <c r="G44" s="25" t="str">
        <f>IF(N('Aug'!AK45)=0,"",'Aug'!AH45/'Aug'!AK45)</f>
        <v/>
      </c>
      <c r="H44" s="25" t="str">
        <f>IF(N('Sep'!AK45)=0,"",'Sep'!AH45/'Sep'!AK45)</f>
        <v/>
      </c>
      <c r="I44" s="25" t="str">
        <f>IF(N('Oct'!AK45)=0,"",'Oct'!AH45/'Oct'!AK45)</f>
        <v/>
      </c>
      <c r="J44" s="25" t="str">
        <f>IF(N('Nov'!AK45)=0,"",'Nov'!AH45/'Nov'!AK45)</f>
        <v/>
      </c>
      <c r="K44" s="25" t="str">
        <f>IF(N('Dec'!AK45)=0,"",'Dec'!AH45/'Dec'!AK45)</f>
        <v/>
      </c>
      <c r="L44" s="25" t="str">
        <f>IF(N('Jan'!AK45)=0,"",'Jan'!AH45/'Jan'!AK45)</f>
        <v/>
      </c>
      <c r="M44" s="25" t="str">
        <f>IF(N('Feb'!AK45)=0,"",'Feb'!AH45/'Feb'!AK45)</f>
        <v/>
      </c>
      <c r="N44" s="25" t="str">
        <f>IF(N('Mar'!AK45)=0,"",'Mar'!AH45/'Mar'!AK45)</f>
        <v/>
      </c>
      <c r="O44" s="21" t="str">
        <f>IF($B44="","",SUM('Apr'!AH45,'May'!AH45,'Jun'!AH45,'Jul'!AH45,'Aug'!AH45,'Sep'!AH45,'Oct'!AH45,'Nov'!AH45,'Dec'!AH45,'Jan'!AH45,'Feb'!AH45,'Mar'!AH45))</f>
        <v/>
      </c>
      <c r="P44" s="21" t="str">
        <f>IF($B44="","",SUM('Apr'!AK45,'May'!AK45,'Jun'!AK45,'Jul'!AK45,'Aug'!AK45,'Sep'!AK45,'Oct'!AK45,'Nov'!AK45,'Dec'!AK45,'Jan'!AK45,'Feb'!AK45,'Mar'!AK45))</f>
        <v/>
      </c>
      <c r="Q44" s="22" t="str">
        <f>IF(N(P44)=0,"",O44/P44)</f>
        <v/>
      </c>
      <c r="R44" s="21" t="str">
        <f>IF(OR(N(P44)=0,Q44&gt;=$R$2),"",ROUNDUP(ROUND(($R$2*P44-O44)/(1-$R$2),6),0))</f>
        <v/>
      </c>
    </row>
    <row r="45" spans="1:18" x14ac:dyDescent="0.25">
      <c r="A45" s="18" t="str">
        <f>IF(Setup!B59="","",Setup!A59)</f>
        <v/>
      </c>
      <c r="B45" s="19" t="str">
        <f>IF(Setup!B59="","",Setup!B59)</f>
        <v/>
      </c>
      <c r="C45" s="25" t="str">
        <f>IF(N('Apr'!AK46)=0,"",'Apr'!AH46/'Apr'!AK46)</f>
        <v/>
      </c>
      <c r="D45" s="25" t="str">
        <f>IF(N('May'!AK46)=0,"",'May'!AH46/'May'!AK46)</f>
        <v/>
      </c>
      <c r="E45" s="25" t="str">
        <f>IF(N('Jun'!AK46)=0,"",'Jun'!AH46/'Jun'!AK46)</f>
        <v/>
      </c>
      <c r="F45" s="25" t="str">
        <f>IF(N('Jul'!AK46)=0,"",'Jul'!AH46/'Jul'!AK46)</f>
        <v/>
      </c>
      <c r="G45" s="25" t="str">
        <f>IF(N('Aug'!AK46)=0,"",'Aug'!AH46/'Aug'!AK46)</f>
        <v/>
      </c>
      <c r="H45" s="25" t="str">
        <f>IF(N('Sep'!AK46)=0,"",'Sep'!AH46/'Sep'!AK46)</f>
        <v/>
      </c>
      <c r="I45" s="25" t="str">
        <f>IF(N('Oct'!AK46)=0,"",'Oct'!AH46/'Oct'!AK46)</f>
        <v/>
      </c>
      <c r="J45" s="25" t="str">
        <f>IF(N('Nov'!AK46)=0,"",'Nov'!AH46/'Nov'!AK46)</f>
        <v/>
      </c>
      <c r="K45" s="25" t="str">
        <f>IF(N('Dec'!AK46)=0,"",'Dec'!AH46/'Dec'!AK46)</f>
        <v/>
      </c>
      <c r="L45" s="25" t="str">
        <f>IF(N('Jan'!AK46)=0,"",'Jan'!AH46/'Jan'!AK46)</f>
        <v/>
      </c>
      <c r="M45" s="25" t="str">
        <f>IF(N('Feb'!AK46)=0,"",'Feb'!AH46/'Feb'!AK46)</f>
        <v/>
      </c>
      <c r="N45" s="25" t="str">
        <f>IF(N('Mar'!AK46)=0,"",'Mar'!AH46/'Mar'!AK46)</f>
        <v/>
      </c>
      <c r="O45" s="21" t="str">
        <f>IF($B45="","",SUM('Apr'!AH46,'May'!AH46,'Jun'!AH46,'Jul'!AH46,'Aug'!AH46,'Sep'!AH46,'Oct'!AH46,'Nov'!AH46,'Dec'!AH46,'Jan'!AH46,'Feb'!AH46,'Mar'!AH46))</f>
        <v/>
      </c>
      <c r="P45" s="21" t="str">
        <f>IF($B45="","",SUM('Apr'!AK46,'May'!AK46,'Jun'!AK46,'Jul'!AK46,'Aug'!AK46,'Sep'!AK46,'Oct'!AK46,'Nov'!AK46,'Dec'!AK46,'Jan'!AK46,'Feb'!AK46,'Mar'!AK46))</f>
        <v/>
      </c>
      <c r="Q45" s="22" t="str">
        <f>IF(N(P45)=0,"",O45/P45)</f>
        <v/>
      </c>
      <c r="R45" s="21" t="str">
        <f>IF(OR(N(P45)=0,Q45&gt;=$R$2),"",ROUNDUP(ROUND(($R$2*P45-O45)/(1-$R$2),6),0))</f>
        <v/>
      </c>
    </row>
    <row r="46" spans="1:18" x14ac:dyDescent="0.25">
      <c r="A46" s="18" t="str">
        <f>IF(Setup!B60="","",Setup!A60)</f>
        <v/>
      </c>
      <c r="B46" s="19" t="str">
        <f>IF(Setup!B60="","",Setup!B60)</f>
        <v/>
      </c>
      <c r="C46" s="25" t="str">
        <f>IF(N('Apr'!AK47)=0,"",'Apr'!AH47/'Apr'!AK47)</f>
        <v/>
      </c>
      <c r="D46" s="25" t="str">
        <f>IF(N('May'!AK47)=0,"",'May'!AH47/'May'!AK47)</f>
        <v/>
      </c>
      <c r="E46" s="25" t="str">
        <f>IF(N('Jun'!AK47)=0,"",'Jun'!AH47/'Jun'!AK47)</f>
        <v/>
      </c>
      <c r="F46" s="25" t="str">
        <f>IF(N('Jul'!AK47)=0,"",'Jul'!AH47/'Jul'!AK47)</f>
        <v/>
      </c>
      <c r="G46" s="25" t="str">
        <f>IF(N('Aug'!AK47)=0,"",'Aug'!AH47/'Aug'!AK47)</f>
        <v/>
      </c>
      <c r="H46" s="25" t="str">
        <f>IF(N('Sep'!AK47)=0,"",'Sep'!AH47/'Sep'!AK47)</f>
        <v/>
      </c>
      <c r="I46" s="25" t="str">
        <f>IF(N('Oct'!AK47)=0,"",'Oct'!AH47/'Oct'!AK47)</f>
        <v/>
      </c>
      <c r="J46" s="25" t="str">
        <f>IF(N('Nov'!AK47)=0,"",'Nov'!AH47/'Nov'!AK47)</f>
        <v/>
      </c>
      <c r="K46" s="25" t="str">
        <f>IF(N('Dec'!AK47)=0,"",'Dec'!AH47/'Dec'!AK47)</f>
        <v/>
      </c>
      <c r="L46" s="25" t="str">
        <f>IF(N('Jan'!AK47)=0,"",'Jan'!AH47/'Jan'!AK47)</f>
        <v/>
      </c>
      <c r="M46" s="25" t="str">
        <f>IF(N('Feb'!AK47)=0,"",'Feb'!AH47/'Feb'!AK47)</f>
        <v/>
      </c>
      <c r="N46" s="25" t="str">
        <f>IF(N('Mar'!AK47)=0,"",'Mar'!AH47/'Mar'!AK47)</f>
        <v/>
      </c>
      <c r="O46" s="21" t="str">
        <f>IF($B46="","",SUM('Apr'!AH47,'May'!AH47,'Jun'!AH47,'Jul'!AH47,'Aug'!AH47,'Sep'!AH47,'Oct'!AH47,'Nov'!AH47,'Dec'!AH47,'Jan'!AH47,'Feb'!AH47,'Mar'!AH47))</f>
        <v/>
      </c>
      <c r="P46" s="21" t="str">
        <f>IF($B46="","",SUM('Apr'!AK47,'May'!AK47,'Jun'!AK47,'Jul'!AK47,'Aug'!AK47,'Sep'!AK47,'Oct'!AK47,'Nov'!AK47,'Dec'!AK47,'Jan'!AK47,'Feb'!AK47,'Mar'!AK47))</f>
        <v/>
      </c>
      <c r="Q46" s="22" t="str">
        <f>IF(N(P46)=0,"",O46/P46)</f>
        <v/>
      </c>
      <c r="R46" s="21" t="str">
        <f>IF(OR(N(P46)=0,Q46&gt;=$R$2),"",ROUNDUP(ROUND(($R$2*P46-O46)/(1-$R$2),6),0))</f>
        <v/>
      </c>
    </row>
    <row r="47" spans="1:18" x14ac:dyDescent="0.25">
      <c r="A47" s="18" t="str">
        <f>IF(Setup!B61="","",Setup!A61)</f>
        <v/>
      </c>
      <c r="B47" s="19" t="str">
        <f>IF(Setup!B61="","",Setup!B61)</f>
        <v/>
      </c>
      <c r="C47" s="25" t="str">
        <f>IF(N('Apr'!AK48)=0,"",'Apr'!AH48/'Apr'!AK48)</f>
        <v/>
      </c>
      <c r="D47" s="25" t="str">
        <f>IF(N('May'!AK48)=0,"",'May'!AH48/'May'!AK48)</f>
        <v/>
      </c>
      <c r="E47" s="25" t="str">
        <f>IF(N('Jun'!AK48)=0,"",'Jun'!AH48/'Jun'!AK48)</f>
        <v/>
      </c>
      <c r="F47" s="25" t="str">
        <f>IF(N('Jul'!AK48)=0,"",'Jul'!AH48/'Jul'!AK48)</f>
        <v/>
      </c>
      <c r="G47" s="25" t="str">
        <f>IF(N('Aug'!AK48)=0,"",'Aug'!AH48/'Aug'!AK48)</f>
        <v/>
      </c>
      <c r="H47" s="25" t="str">
        <f>IF(N('Sep'!AK48)=0,"",'Sep'!AH48/'Sep'!AK48)</f>
        <v/>
      </c>
      <c r="I47" s="25" t="str">
        <f>IF(N('Oct'!AK48)=0,"",'Oct'!AH48/'Oct'!AK48)</f>
        <v/>
      </c>
      <c r="J47" s="25" t="str">
        <f>IF(N('Nov'!AK48)=0,"",'Nov'!AH48/'Nov'!AK48)</f>
        <v/>
      </c>
      <c r="K47" s="25" t="str">
        <f>IF(N('Dec'!AK48)=0,"",'Dec'!AH48/'Dec'!AK48)</f>
        <v/>
      </c>
      <c r="L47" s="25" t="str">
        <f>IF(N('Jan'!AK48)=0,"",'Jan'!AH48/'Jan'!AK48)</f>
        <v/>
      </c>
      <c r="M47" s="25" t="str">
        <f>IF(N('Feb'!AK48)=0,"",'Feb'!AH48/'Feb'!AK48)</f>
        <v/>
      </c>
      <c r="N47" s="25" t="str">
        <f>IF(N('Mar'!AK48)=0,"",'Mar'!AH48/'Mar'!AK48)</f>
        <v/>
      </c>
      <c r="O47" s="21" t="str">
        <f>IF($B47="","",SUM('Apr'!AH48,'May'!AH48,'Jun'!AH48,'Jul'!AH48,'Aug'!AH48,'Sep'!AH48,'Oct'!AH48,'Nov'!AH48,'Dec'!AH48,'Jan'!AH48,'Feb'!AH48,'Mar'!AH48))</f>
        <v/>
      </c>
      <c r="P47" s="21" t="str">
        <f>IF($B47="","",SUM('Apr'!AK48,'May'!AK48,'Jun'!AK48,'Jul'!AK48,'Aug'!AK48,'Sep'!AK48,'Oct'!AK48,'Nov'!AK48,'Dec'!AK48,'Jan'!AK48,'Feb'!AK48,'Mar'!AK48))</f>
        <v/>
      </c>
      <c r="Q47" s="22" t="str">
        <f>IF(N(P47)=0,"",O47/P47)</f>
        <v/>
      </c>
      <c r="R47" s="21" t="str">
        <f>IF(OR(N(P47)=0,Q47&gt;=$R$2),"",ROUNDUP(ROUND(($R$2*P47-O47)/(1-$R$2),6),0))</f>
        <v/>
      </c>
    </row>
    <row r="48" spans="1:18" x14ac:dyDescent="0.25">
      <c r="A48" s="18" t="str">
        <f>IF(Setup!B62="","",Setup!A62)</f>
        <v/>
      </c>
      <c r="B48" s="19" t="str">
        <f>IF(Setup!B62="","",Setup!B62)</f>
        <v/>
      </c>
      <c r="C48" s="25" t="str">
        <f>IF(N('Apr'!AK49)=0,"",'Apr'!AH49/'Apr'!AK49)</f>
        <v/>
      </c>
      <c r="D48" s="25" t="str">
        <f>IF(N('May'!AK49)=0,"",'May'!AH49/'May'!AK49)</f>
        <v/>
      </c>
      <c r="E48" s="25" t="str">
        <f>IF(N('Jun'!AK49)=0,"",'Jun'!AH49/'Jun'!AK49)</f>
        <v/>
      </c>
      <c r="F48" s="25" t="str">
        <f>IF(N('Jul'!AK49)=0,"",'Jul'!AH49/'Jul'!AK49)</f>
        <v/>
      </c>
      <c r="G48" s="25" t="str">
        <f>IF(N('Aug'!AK49)=0,"",'Aug'!AH49/'Aug'!AK49)</f>
        <v/>
      </c>
      <c r="H48" s="25" t="str">
        <f>IF(N('Sep'!AK49)=0,"",'Sep'!AH49/'Sep'!AK49)</f>
        <v/>
      </c>
      <c r="I48" s="25" t="str">
        <f>IF(N('Oct'!AK49)=0,"",'Oct'!AH49/'Oct'!AK49)</f>
        <v/>
      </c>
      <c r="J48" s="25" t="str">
        <f>IF(N('Nov'!AK49)=0,"",'Nov'!AH49/'Nov'!AK49)</f>
        <v/>
      </c>
      <c r="K48" s="25" t="str">
        <f>IF(N('Dec'!AK49)=0,"",'Dec'!AH49/'Dec'!AK49)</f>
        <v/>
      </c>
      <c r="L48" s="25" t="str">
        <f>IF(N('Jan'!AK49)=0,"",'Jan'!AH49/'Jan'!AK49)</f>
        <v/>
      </c>
      <c r="M48" s="25" t="str">
        <f>IF(N('Feb'!AK49)=0,"",'Feb'!AH49/'Feb'!AK49)</f>
        <v/>
      </c>
      <c r="N48" s="25" t="str">
        <f>IF(N('Mar'!AK49)=0,"",'Mar'!AH49/'Mar'!AK49)</f>
        <v/>
      </c>
      <c r="O48" s="21" t="str">
        <f>IF($B48="","",SUM('Apr'!AH49,'May'!AH49,'Jun'!AH49,'Jul'!AH49,'Aug'!AH49,'Sep'!AH49,'Oct'!AH49,'Nov'!AH49,'Dec'!AH49,'Jan'!AH49,'Feb'!AH49,'Mar'!AH49))</f>
        <v/>
      </c>
      <c r="P48" s="21" t="str">
        <f>IF($B48="","",SUM('Apr'!AK49,'May'!AK49,'Jun'!AK49,'Jul'!AK49,'Aug'!AK49,'Sep'!AK49,'Oct'!AK49,'Nov'!AK49,'Dec'!AK49,'Jan'!AK49,'Feb'!AK49,'Mar'!AK49))</f>
        <v/>
      </c>
      <c r="Q48" s="22" t="str">
        <f>IF(N(P48)=0,"",O48/P48)</f>
        <v/>
      </c>
      <c r="R48" s="21" t="str">
        <f>IF(OR(N(P48)=0,Q48&gt;=$R$2),"",ROUNDUP(ROUND(($R$2*P48-O48)/(1-$R$2),6),0))</f>
        <v/>
      </c>
    </row>
    <row r="49" spans="1:18" x14ac:dyDescent="0.25">
      <c r="A49" s="18" t="str">
        <f>IF(Setup!B63="","",Setup!A63)</f>
        <v/>
      </c>
      <c r="B49" s="19" t="str">
        <f>IF(Setup!B63="","",Setup!B63)</f>
        <v/>
      </c>
      <c r="C49" s="25" t="str">
        <f>IF(N('Apr'!AK50)=0,"",'Apr'!AH50/'Apr'!AK50)</f>
        <v/>
      </c>
      <c r="D49" s="25" t="str">
        <f>IF(N('May'!AK50)=0,"",'May'!AH50/'May'!AK50)</f>
        <v/>
      </c>
      <c r="E49" s="25" t="str">
        <f>IF(N('Jun'!AK50)=0,"",'Jun'!AH50/'Jun'!AK50)</f>
        <v/>
      </c>
      <c r="F49" s="25" t="str">
        <f>IF(N('Jul'!AK50)=0,"",'Jul'!AH50/'Jul'!AK50)</f>
        <v/>
      </c>
      <c r="G49" s="25" t="str">
        <f>IF(N('Aug'!AK50)=0,"",'Aug'!AH50/'Aug'!AK50)</f>
        <v/>
      </c>
      <c r="H49" s="25" t="str">
        <f>IF(N('Sep'!AK50)=0,"",'Sep'!AH50/'Sep'!AK50)</f>
        <v/>
      </c>
      <c r="I49" s="25" t="str">
        <f>IF(N('Oct'!AK50)=0,"",'Oct'!AH50/'Oct'!AK50)</f>
        <v/>
      </c>
      <c r="J49" s="25" t="str">
        <f>IF(N('Nov'!AK50)=0,"",'Nov'!AH50/'Nov'!AK50)</f>
        <v/>
      </c>
      <c r="K49" s="25" t="str">
        <f>IF(N('Dec'!AK50)=0,"",'Dec'!AH50/'Dec'!AK50)</f>
        <v/>
      </c>
      <c r="L49" s="25" t="str">
        <f>IF(N('Jan'!AK50)=0,"",'Jan'!AH50/'Jan'!AK50)</f>
        <v/>
      </c>
      <c r="M49" s="25" t="str">
        <f>IF(N('Feb'!AK50)=0,"",'Feb'!AH50/'Feb'!AK50)</f>
        <v/>
      </c>
      <c r="N49" s="25" t="str">
        <f>IF(N('Mar'!AK50)=0,"",'Mar'!AH50/'Mar'!AK50)</f>
        <v/>
      </c>
      <c r="O49" s="21" t="str">
        <f>IF($B49="","",SUM('Apr'!AH50,'May'!AH50,'Jun'!AH50,'Jul'!AH50,'Aug'!AH50,'Sep'!AH50,'Oct'!AH50,'Nov'!AH50,'Dec'!AH50,'Jan'!AH50,'Feb'!AH50,'Mar'!AH50))</f>
        <v/>
      </c>
      <c r="P49" s="21" t="str">
        <f>IF($B49="","",SUM('Apr'!AK50,'May'!AK50,'Jun'!AK50,'Jul'!AK50,'Aug'!AK50,'Sep'!AK50,'Oct'!AK50,'Nov'!AK50,'Dec'!AK50,'Jan'!AK50,'Feb'!AK50,'Mar'!AK50))</f>
        <v/>
      </c>
      <c r="Q49" s="22" t="str">
        <f>IF(N(P49)=0,"",O49/P49)</f>
        <v/>
      </c>
      <c r="R49" s="21" t="str">
        <f>IF(OR(N(P49)=0,Q49&gt;=$R$2),"",ROUNDUP(ROUND(($R$2*P49-O49)/(1-$R$2),6),0))</f>
        <v/>
      </c>
    </row>
    <row r="50" spans="1:18" x14ac:dyDescent="0.25">
      <c r="A50" s="18" t="str">
        <f>IF(Setup!B64="","",Setup!A64)</f>
        <v/>
      </c>
      <c r="B50" s="19" t="str">
        <f>IF(Setup!B64="","",Setup!B64)</f>
        <v/>
      </c>
      <c r="C50" s="25" t="str">
        <f>IF(N('Apr'!AK51)=0,"",'Apr'!AH51/'Apr'!AK51)</f>
        <v/>
      </c>
      <c r="D50" s="25" t="str">
        <f>IF(N('May'!AK51)=0,"",'May'!AH51/'May'!AK51)</f>
        <v/>
      </c>
      <c r="E50" s="25" t="str">
        <f>IF(N('Jun'!AK51)=0,"",'Jun'!AH51/'Jun'!AK51)</f>
        <v/>
      </c>
      <c r="F50" s="25" t="str">
        <f>IF(N('Jul'!AK51)=0,"",'Jul'!AH51/'Jul'!AK51)</f>
        <v/>
      </c>
      <c r="G50" s="25" t="str">
        <f>IF(N('Aug'!AK51)=0,"",'Aug'!AH51/'Aug'!AK51)</f>
        <v/>
      </c>
      <c r="H50" s="25" t="str">
        <f>IF(N('Sep'!AK51)=0,"",'Sep'!AH51/'Sep'!AK51)</f>
        <v/>
      </c>
      <c r="I50" s="25" t="str">
        <f>IF(N('Oct'!AK51)=0,"",'Oct'!AH51/'Oct'!AK51)</f>
        <v/>
      </c>
      <c r="J50" s="25" t="str">
        <f>IF(N('Nov'!AK51)=0,"",'Nov'!AH51/'Nov'!AK51)</f>
        <v/>
      </c>
      <c r="K50" s="25" t="str">
        <f>IF(N('Dec'!AK51)=0,"",'Dec'!AH51/'Dec'!AK51)</f>
        <v/>
      </c>
      <c r="L50" s="25" t="str">
        <f>IF(N('Jan'!AK51)=0,"",'Jan'!AH51/'Jan'!AK51)</f>
        <v/>
      </c>
      <c r="M50" s="25" t="str">
        <f>IF(N('Feb'!AK51)=0,"",'Feb'!AH51/'Feb'!AK51)</f>
        <v/>
      </c>
      <c r="N50" s="25" t="str">
        <f>IF(N('Mar'!AK51)=0,"",'Mar'!AH51/'Mar'!AK51)</f>
        <v/>
      </c>
      <c r="O50" s="21" t="str">
        <f>IF($B50="","",SUM('Apr'!AH51,'May'!AH51,'Jun'!AH51,'Jul'!AH51,'Aug'!AH51,'Sep'!AH51,'Oct'!AH51,'Nov'!AH51,'Dec'!AH51,'Jan'!AH51,'Feb'!AH51,'Mar'!AH51))</f>
        <v/>
      </c>
      <c r="P50" s="21" t="str">
        <f>IF($B50="","",SUM('Apr'!AK51,'May'!AK51,'Jun'!AK51,'Jul'!AK51,'Aug'!AK51,'Sep'!AK51,'Oct'!AK51,'Nov'!AK51,'Dec'!AK51,'Jan'!AK51,'Feb'!AK51,'Mar'!AK51))</f>
        <v/>
      </c>
      <c r="Q50" s="22" t="str">
        <f>IF(N(P50)=0,"",O50/P50)</f>
        <v/>
      </c>
      <c r="R50" s="21" t="str">
        <f>IF(OR(N(P50)=0,Q50&gt;=$R$2),"",ROUNDUP(ROUND(($R$2*P50-O50)/(1-$R$2),6),0))</f>
        <v/>
      </c>
    </row>
    <row r="51" spans="1:18" x14ac:dyDescent="0.25">
      <c r="A51" s="18" t="str">
        <f>IF(Setup!B65="","",Setup!A65)</f>
        <v/>
      </c>
      <c r="B51" s="19" t="str">
        <f>IF(Setup!B65="","",Setup!B65)</f>
        <v/>
      </c>
      <c r="C51" s="25" t="str">
        <f>IF(N('Apr'!AK52)=0,"",'Apr'!AH52/'Apr'!AK52)</f>
        <v/>
      </c>
      <c r="D51" s="25" t="str">
        <f>IF(N('May'!AK52)=0,"",'May'!AH52/'May'!AK52)</f>
        <v/>
      </c>
      <c r="E51" s="25" t="str">
        <f>IF(N('Jun'!AK52)=0,"",'Jun'!AH52/'Jun'!AK52)</f>
        <v/>
      </c>
      <c r="F51" s="25" t="str">
        <f>IF(N('Jul'!AK52)=0,"",'Jul'!AH52/'Jul'!AK52)</f>
        <v/>
      </c>
      <c r="G51" s="25" t="str">
        <f>IF(N('Aug'!AK52)=0,"",'Aug'!AH52/'Aug'!AK52)</f>
        <v/>
      </c>
      <c r="H51" s="25" t="str">
        <f>IF(N('Sep'!AK52)=0,"",'Sep'!AH52/'Sep'!AK52)</f>
        <v/>
      </c>
      <c r="I51" s="25" t="str">
        <f>IF(N('Oct'!AK52)=0,"",'Oct'!AH52/'Oct'!AK52)</f>
        <v/>
      </c>
      <c r="J51" s="25" t="str">
        <f>IF(N('Nov'!AK52)=0,"",'Nov'!AH52/'Nov'!AK52)</f>
        <v/>
      </c>
      <c r="K51" s="25" t="str">
        <f>IF(N('Dec'!AK52)=0,"",'Dec'!AH52/'Dec'!AK52)</f>
        <v/>
      </c>
      <c r="L51" s="25" t="str">
        <f>IF(N('Jan'!AK52)=0,"",'Jan'!AH52/'Jan'!AK52)</f>
        <v/>
      </c>
      <c r="M51" s="25" t="str">
        <f>IF(N('Feb'!AK52)=0,"",'Feb'!AH52/'Feb'!AK52)</f>
        <v/>
      </c>
      <c r="N51" s="25" t="str">
        <f>IF(N('Mar'!AK52)=0,"",'Mar'!AH52/'Mar'!AK52)</f>
        <v/>
      </c>
      <c r="O51" s="21" t="str">
        <f>IF($B51="","",SUM('Apr'!AH52,'May'!AH52,'Jun'!AH52,'Jul'!AH52,'Aug'!AH52,'Sep'!AH52,'Oct'!AH52,'Nov'!AH52,'Dec'!AH52,'Jan'!AH52,'Feb'!AH52,'Mar'!AH52))</f>
        <v/>
      </c>
      <c r="P51" s="21" t="str">
        <f>IF($B51="","",SUM('Apr'!AK52,'May'!AK52,'Jun'!AK52,'Jul'!AK52,'Aug'!AK52,'Sep'!AK52,'Oct'!AK52,'Nov'!AK52,'Dec'!AK52,'Jan'!AK52,'Feb'!AK52,'Mar'!AK52))</f>
        <v/>
      </c>
      <c r="Q51" s="22" t="str">
        <f>IF(N(P51)=0,"",O51/P51)</f>
        <v/>
      </c>
      <c r="R51" s="21" t="str">
        <f>IF(OR(N(P51)=0,Q51&gt;=$R$2),"",ROUNDUP(ROUND(($R$2*P51-O51)/(1-$R$2),6),0))</f>
        <v/>
      </c>
    </row>
    <row r="52" spans="1:18" x14ac:dyDescent="0.25">
      <c r="A52" s="18" t="str">
        <f>IF(Setup!B66="","",Setup!A66)</f>
        <v/>
      </c>
      <c r="B52" s="19" t="str">
        <f>IF(Setup!B66="","",Setup!B66)</f>
        <v/>
      </c>
      <c r="C52" s="25" t="str">
        <f>IF(N('Apr'!AK53)=0,"",'Apr'!AH53/'Apr'!AK53)</f>
        <v/>
      </c>
      <c r="D52" s="25" t="str">
        <f>IF(N('May'!AK53)=0,"",'May'!AH53/'May'!AK53)</f>
        <v/>
      </c>
      <c r="E52" s="25" t="str">
        <f>IF(N('Jun'!AK53)=0,"",'Jun'!AH53/'Jun'!AK53)</f>
        <v/>
      </c>
      <c r="F52" s="25" t="str">
        <f>IF(N('Jul'!AK53)=0,"",'Jul'!AH53/'Jul'!AK53)</f>
        <v/>
      </c>
      <c r="G52" s="25" t="str">
        <f>IF(N('Aug'!AK53)=0,"",'Aug'!AH53/'Aug'!AK53)</f>
        <v/>
      </c>
      <c r="H52" s="25" t="str">
        <f>IF(N('Sep'!AK53)=0,"",'Sep'!AH53/'Sep'!AK53)</f>
        <v/>
      </c>
      <c r="I52" s="25" t="str">
        <f>IF(N('Oct'!AK53)=0,"",'Oct'!AH53/'Oct'!AK53)</f>
        <v/>
      </c>
      <c r="J52" s="25" t="str">
        <f>IF(N('Nov'!AK53)=0,"",'Nov'!AH53/'Nov'!AK53)</f>
        <v/>
      </c>
      <c r="K52" s="25" t="str">
        <f>IF(N('Dec'!AK53)=0,"",'Dec'!AH53/'Dec'!AK53)</f>
        <v/>
      </c>
      <c r="L52" s="25" t="str">
        <f>IF(N('Jan'!AK53)=0,"",'Jan'!AH53/'Jan'!AK53)</f>
        <v/>
      </c>
      <c r="M52" s="25" t="str">
        <f>IF(N('Feb'!AK53)=0,"",'Feb'!AH53/'Feb'!AK53)</f>
        <v/>
      </c>
      <c r="N52" s="25" t="str">
        <f>IF(N('Mar'!AK53)=0,"",'Mar'!AH53/'Mar'!AK53)</f>
        <v/>
      </c>
      <c r="O52" s="21" t="str">
        <f>IF($B52="","",SUM('Apr'!AH53,'May'!AH53,'Jun'!AH53,'Jul'!AH53,'Aug'!AH53,'Sep'!AH53,'Oct'!AH53,'Nov'!AH53,'Dec'!AH53,'Jan'!AH53,'Feb'!AH53,'Mar'!AH53))</f>
        <v/>
      </c>
      <c r="P52" s="21" t="str">
        <f>IF($B52="","",SUM('Apr'!AK53,'May'!AK53,'Jun'!AK53,'Jul'!AK53,'Aug'!AK53,'Sep'!AK53,'Oct'!AK53,'Nov'!AK53,'Dec'!AK53,'Jan'!AK53,'Feb'!AK53,'Mar'!AK53))</f>
        <v/>
      </c>
      <c r="Q52" s="22" t="str">
        <f>IF(N(P52)=0,"",O52/P52)</f>
        <v/>
      </c>
      <c r="R52" s="21" t="str">
        <f>IF(OR(N(P52)=0,Q52&gt;=$R$2),"",ROUNDUP(ROUND(($R$2*P52-O52)/(1-$R$2),6),0))</f>
        <v/>
      </c>
    </row>
    <row r="53" spans="1:18" x14ac:dyDescent="0.25">
      <c r="A53" s="18" t="str">
        <f>IF(Setup!B67="","",Setup!A67)</f>
        <v/>
      </c>
      <c r="B53" s="19" t="str">
        <f>IF(Setup!B67="","",Setup!B67)</f>
        <v/>
      </c>
      <c r="C53" s="25" t="str">
        <f>IF(N('Apr'!AK54)=0,"",'Apr'!AH54/'Apr'!AK54)</f>
        <v/>
      </c>
      <c r="D53" s="25" t="str">
        <f>IF(N('May'!AK54)=0,"",'May'!AH54/'May'!AK54)</f>
        <v/>
      </c>
      <c r="E53" s="25" t="str">
        <f>IF(N('Jun'!AK54)=0,"",'Jun'!AH54/'Jun'!AK54)</f>
        <v/>
      </c>
      <c r="F53" s="25" t="str">
        <f>IF(N('Jul'!AK54)=0,"",'Jul'!AH54/'Jul'!AK54)</f>
        <v/>
      </c>
      <c r="G53" s="25" t="str">
        <f>IF(N('Aug'!AK54)=0,"",'Aug'!AH54/'Aug'!AK54)</f>
        <v/>
      </c>
      <c r="H53" s="25" t="str">
        <f>IF(N('Sep'!AK54)=0,"",'Sep'!AH54/'Sep'!AK54)</f>
        <v/>
      </c>
      <c r="I53" s="25" t="str">
        <f>IF(N('Oct'!AK54)=0,"",'Oct'!AH54/'Oct'!AK54)</f>
        <v/>
      </c>
      <c r="J53" s="25" t="str">
        <f>IF(N('Nov'!AK54)=0,"",'Nov'!AH54/'Nov'!AK54)</f>
        <v/>
      </c>
      <c r="K53" s="25" t="str">
        <f>IF(N('Dec'!AK54)=0,"",'Dec'!AH54/'Dec'!AK54)</f>
        <v/>
      </c>
      <c r="L53" s="25" t="str">
        <f>IF(N('Jan'!AK54)=0,"",'Jan'!AH54/'Jan'!AK54)</f>
        <v/>
      </c>
      <c r="M53" s="25" t="str">
        <f>IF(N('Feb'!AK54)=0,"",'Feb'!AH54/'Feb'!AK54)</f>
        <v/>
      </c>
      <c r="N53" s="25" t="str">
        <f>IF(N('Mar'!AK54)=0,"",'Mar'!AH54/'Mar'!AK54)</f>
        <v/>
      </c>
      <c r="O53" s="21" t="str">
        <f>IF($B53="","",SUM('Apr'!AH54,'May'!AH54,'Jun'!AH54,'Jul'!AH54,'Aug'!AH54,'Sep'!AH54,'Oct'!AH54,'Nov'!AH54,'Dec'!AH54,'Jan'!AH54,'Feb'!AH54,'Mar'!AH54))</f>
        <v/>
      </c>
      <c r="P53" s="21" t="str">
        <f>IF($B53="","",SUM('Apr'!AK54,'May'!AK54,'Jun'!AK54,'Jul'!AK54,'Aug'!AK54,'Sep'!AK54,'Oct'!AK54,'Nov'!AK54,'Dec'!AK54,'Jan'!AK54,'Feb'!AK54,'Mar'!AK54))</f>
        <v/>
      </c>
      <c r="Q53" s="22" t="str">
        <f>IF(N(P53)=0,"",O53/P53)</f>
        <v/>
      </c>
      <c r="R53" s="21" t="str">
        <f>IF(OR(N(P53)=0,Q53&gt;=$R$2),"",ROUNDUP(ROUND(($R$2*P53-O53)/(1-$R$2),6),0))</f>
        <v/>
      </c>
    </row>
    <row r="54" spans="1:18" x14ac:dyDescent="0.25">
      <c r="A54" s="18" t="str">
        <f>IF(Setup!B68="","",Setup!A68)</f>
        <v/>
      </c>
      <c r="B54" s="19" t="str">
        <f>IF(Setup!B68="","",Setup!B68)</f>
        <v/>
      </c>
      <c r="C54" s="25" t="str">
        <f>IF(N('Apr'!AK55)=0,"",'Apr'!AH55/'Apr'!AK55)</f>
        <v/>
      </c>
      <c r="D54" s="25" t="str">
        <f>IF(N('May'!AK55)=0,"",'May'!AH55/'May'!AK55)</f>
        <v/>
      </c>
      <c r="E54" s="25" t="str">
        <f>IF(N('Jun'!AK55)=0,"",'Jun'!AH55/'Jun'!AK55)</f>
        <v/>
      </c>
      <c r="F54" s="25" t="str">
        <f>IF(N('Jul'!AK55)=0,"",'Jul'!AH55/'Jul'!AK55)</f>
        <v/>
      </c>
      <c r="G54" s="25" t="str">
        <f>IF(N('Aug'!AK55)=0,"",'Aug'!AH55/'Aug'!AK55)</f>
        <v/>
      </c>
      <c r="H54" s="25" t="str">
        <f>IF(N('Sep'!AK55)=0,"",'Sep'!AH55/'Sep'!AK55)</f>
        <v/>
      </c>
      <c r="I54" s="25" t="str">
        <f>IF(N('Oct'!AK55)=0,"",'Oct'!AH55/'Oct'!AK55)</f>
        <v/>
      </c>
      <c r="J54" s="25" t="str">
        <f>IF(N('Nov'!AK55)=0,"",'Nov'!AH55/'Nov'!AK55)</f>
        <v/>
      </c>
      <c r="K54" s="25" t="str">
        <f>IF(N('Dec'!AK55)=0,"",'Dec'!AH55/'Dec'!AK55)</f>
        <v/>
      </c>
      <c r="L54" s="25" t="str">
        <f>IF(N('Jan'!AK55)=0,"",'Jan'!AH55/'Jan'!AK55)</f>
        <v/>
      </c>
      <c r="M54" s="25" t="str">
        <f>IF(N('Feb'!AK55)=0,"",'Feb'!AH55/'Feb'!AK55)</f>
        <v/>
      </c>
      <c r="N54" s="25" t="str">
        <f>IF(N('Mar'!AK55)=0,"",'Mar'!AH55/'Mar'!AK55)</f>
        <v/>
      </c>
      <c r="O54" s="21" t="str">
        <f>IF($B54="","",SUM('Apr'!AH55,'May'!AH55,'Jun'!AH55,'Jul'!AH55,'Aug'!AH55,'Sep'!AH55,'Oct'!AH55,'Nov'!AH55,'Dec'!AH55,'Jan'!AH55,'Feb'!AH55,'Mar'!AH55))</f>
        <v/>
      </c>
      <c r="P54" s="21" t="str">
        <f>IF($B54="","",SUM('Apr'!AK55,'May'!AK55,'Jun'!AK55,'Jul'!AK55,'Aug'!AK55,'Sep'!AK55,'Oct'!AK55,'Nov'!AK55,'Dec'!AK55,'Jan'!AK55,'Feb'!AK55,'Mar'!AK55))</f>
        <v/>
      </c>
      <c r="Q54" s="22" t="str">
        <f>IF(N(P54)=0,"",O54/P54)</f>
        <v/>
      </c>
      <c r="R54" s="21" t="str">
        <f>IF(OR(N(P54)=0,Q54&gt;=$R$2),"",ROUNDUP(ROUND(($R$2*P54-O54)/(1-$R$2),6),0))</f>
        <v/>
      </c>
    </row>
    <row r="56" spans="1:1" x14ac:dyDescent="0.25">
      <c r="A56" s="13" t="s">
        <v>41</v>
      </c>
    </row>
  </sheetData>
  <conditionalFormatting sqref="C5:N54">
    <cfRule type="expression" dxfId="72" priority="1">
      <formula>AND(ISNUMBER(C5),C5&lt;$R$2)</formula>
    </cfRule>
  </conditionalFormatting>
  <conditionalFormatting sqref="Q5:Q54">
    <cfRule type="expression" dxfId="73" priority="2">
      <formula>AND(ISNUMBER(Q5),Q5&lt;$R$2)</formula>
    </cfRule>
  </conditionalFormatting>
  <hyperlinks>
    <hyperlink ref="A56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Setup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Jan</vt:lpstr>
      <vt:lpstr>Feb</vt:lpstr>
      <vt:lpstr>Mar</vt:lpstr>
      <vt:lpstr>Year</vt:lpstr>
    </vt:vector>
  </TitlesOfParts>
  <Company>proems.in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ProEMS</dc:creator>
  <dc:title>Student attendance register (monthly)</dc:title>
  <dc:subject/>
  <dc:description>Free template from proems.in: https://www.proems.in/templates/attendance-register/</dc:description>
  <cp:keywords/>
  <cp:category/>
  <cp:lastModifiedBy>ProEMS</cp:lastModifiedBy>
  <dcterms:created xsi:type="dcterms:W3CDTF">2026-10-21T12:00:00Z</dcterms:created>
  <dcterms:modified xsi:type="dcterms:W3CDTF">2026-10-21T12:00:00Z</dcterms:modified>
</cp:coreProperties>
</file>